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-2016-fs02.ai.ch\Benutzer$\rkrk\Config\Desktop\"/>
    </mc:Choice>
  </mc:AlternateContent>
  <bookViews>
    <workbookView xWindow="0" yWindow="0" windowWidth="2370" windowHeight="240"/>
  </bookViews>
  <sheets>
    <sheet name="Kantonsbeitrag an Fusion" sheetId="1" r:id="rId1"/>
    <sheet name="Auswirkungen auf FA" sheetId="3" r:id="rId2"/>
    <sheet name="Vergleich" sheetId="2" r:id="rId3"/>
    <sheet name="Tabelle4" sheetId="4" r:id="rId4"/>
  </sheets>
  <definedNames>
    <definedName name="_xlnm.Print_Area" localSheetId="0">'Kantonsbeitrag an Fusion'!$A$1:$F$25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61" i="1"/>
  <c r="C39" i="1"/>
  <c r="D109" i="1" l="1"/>
  <c r="D108" i="1"/>
  <c r="D62" i="1"/>
  <c r="D61" i="1"/>
  <c r="D40" i="1"/>
  <c r="D39" i="1"/>
  <c r="D18" i="1"/>
  <c r="D17" i="1"/>
  <c r="B208" i="3" l="1"/>
  <c r="C208" i="3"/>
  <c r="B42" i="1" l="1"/>
  <c r="D42" i="1" s="1"/>
  <c r="B65" i="1"/>
  <c r="D65" i="1" s="1"/>
  <c r="B167" i="3"/>
  <c r="B168" i="3"/>
  <c r="B169" i="3"/>
  <c r="B170" i="3"/>
  <c r="B171" i="3"/>
  <c r="B172" i="3"/>
  <c r="B173" i="3"/>
  <c r="B166" i="3"/>
  <c r="B165" i="3"/>
  <c r="B211" i="3"/>
  <c r="B112" i="1"/>
  <c r="C112" i="1" s="1"/>
  <c r="E201" i="3"/>
  <c r="E202" i="3"/>
  <c r="E203" i="3"/>
  <c r="E204" i="3"/>
  <c r="E205" i="3"/>
  <c r="E206" i="3"/>
  <c r="E207" i="3"/>
  <c r="E200" i="3"/>
  <c r="G200" i="3"/>
  <c r="C191" i="3"/>
  <c r="C192" i="3" s="1"/>
  <c r="B191" i="3"/>
  <c r="B192" i="3" s="1"/>
  <c r="G156" i="3"/>
  <c r="G153" i="3"/>
  <c r="C146" i="3"/>
  <c r="C147" i="3" s="1"/>
  <c r="B146" i="3"/>
  <c r="B147" i="3" s="1"/>
  <c r="G109" i="3"/>
  <c r="G111" i="3"/>
  <c r="G108" i="3"/>
  <c r="B120" i="3" s="1"/>
  <c r="C102" i="3"/>
  <c r="C103" i="3" s="1"/>
  <c r="B102" i="3"/>
  <c r="B103" i="3" s="1"/>
  <c r="G62" i="3"/>
  <c r="G64" i="3"/>
  <c r="G61" i="3"/>
  <c r="C15" i="3"/>
  <c r="C16" i="3" s="1"/>
  <c r="B54" i="3"/>
  <c r="B55" i="3" s="1"/>
  <c r="C54" i="3"/>
  <c r="C55" i="3" s="1"/>
  <c r="B15" i="3"/>
  <c r="B16" i="3" s="1"/>
  <c r="D112" i="1" l="1"/>
  <c r="C65" i="1"/>
  <c r="C68" i="1" s="1"/>
  <c r="C42" i="1"/>
  <c r="C219" i="3"/>
  <c r="D211" i="3"/>
  <c r="D207" i="3"/>
  <c r="D206" i="3"/>
  <c r="D205" i="3"/>
  <c r="D204" i="3"/>
  <c r="D203" i="3"/>
  <c r="F203" i="3" s="1"/>
  <c r="D202" i="3"/>
  <c r="D201" i="3"/>
  <c r="D200" i="3"/>
  <c r="C174" i="3"/>
  <c r="D173" i="3"/>
  <c r="D172" i="3"/>
  <c r="D171" i="3"/>
  <c r="D170" i="3"/>
  <c r="D169" i="3"/>
  <c r="D168" i="3"/>
  <c r="B90" i="1" s="1"/>
  <c r="D167" i="3"/>
  <c r="D166" i="3"/>
  <c r="B174" i="3"/>
  <c r="B121" i="3"/>
  <c r="D121" i="3" s="1"/>
  <c r="D155" i="3"/>
  <c r="E155" i="3" s="1"/>
  <c r="C162" i="3"/>
  <c r="B162" i="3"/>
  <c r="D161" i="3"/>
  <c r="E161" i="3" s="1"/>
  <c r="D160" i="3"/>
  <c r="E160" i="3" s="1"/>
  <c r="D159" i="3"/>
  <c r="E159" i="3" s="1"/>
  <c r="D158" i="3"/>
  <c r="E158" i="3" s="1"/>
  <c r="D157" i="3"/>
  <c r="E157" i="3" s="1"/>
  <c r="D156" i="3"/>
  <c r="E156" i="3" s="1"/>
  <c r="D154" i="3"/>
  <c r="E154" i="3" s="1"/>
  <c r="D153" i="3"/>
  <c r="E153" i="3" s="1"/>
  <c r="C129" i="3"/>
  <c r="B75" i="3"/>
  <c r="B77" i="3"/>
  <c r="D112" i="3"/>
  <c r="E112" i="3" s="1"/>
  <c r="C117" i="3"/>
  <c r="D110" i="3"/>
  <c r="E110" i="3" s="1"/>
  <c r="D120" i="3"/>
  <c r="D116" i="3"/>
  <c r="E116" i="3" s="1"/>
  <c r="D115" i="3"/>
  <c r="E115" i="3" s="1"/>
  <c r="D114" i="3"/>
  <c r="E114" i="3" s="1"/>
  <c r="D113" i="3"/>
  <c r="E113" i="3" s="1"/>
  <c r="D111" i="3"/>
  <c r="E111" i="3" s="1"/>
  <c r="D109" i="3"/>
  <c r="E109" i="3" s="1"/>
  <c r="D108" i="3"/>
  <c r="E108" i="3" s="1"/>
  <c r="D22" i="3"/>
  <c r="D23" i="3"/>
  <c r="D24" i="3"/>
  <c r="D25" i="3"/>
  <c r="D21" i="3"/>
  <c r="B26" i="3"/>
  <c r="C83" i="3"/>
  <c r="C70" i="3"/>
  <c r="B70" i="3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90" i="1" l="1"/>
  <c r="C90" i="1"/>
  <c r="G203" i="3"/>
  <c r="B214" i="3" s="1"/>
  <c r="D214" i="3" s="1"/>
  <c r="F154" i="3"/>
  <c r="G154" i="3" s="1"/>
  <c r="F155" i="3"/>
  <c r="G155" i="3" s="1"/>
  <c r="F201" i="3"/>
  <c r="F205" i="3"/>
  <c r="F204" i="3"/>
  <c r="F206" i="3"/>
  <c r="F207" i="3"/>
  <c r="F202" i="3"/>
  <c r="F115" i="3"/>
  <c r="F116" i="3"/>
  <c r="F112" i="3"/>
  <c r="D165" i="3"/>
  <c r="F160" i="3"/>
  <c r="G160" i="3" s="1"/>
  <c r="F159" i="3"/>
  <c r="G159" i="3" s="1"/>
  <c r="F161" i="3"/>
  <c r="G161" i="3" s="1"/>
  <c r="F113" i="3"/>
  <c r="F114" i="3"/>
  <c r="F110" i="3"/>
  <c r="G110" i="3" s="1"/>
  <c r="F158" i="3"/>
  <c r="G158" i="3" s="1"/>
  <c r="F157" i="3"/>
  <c r="G157" i="3" s="1"/>
  <c r="B117" i="3"/>
  <c r="D75" i="3"/>
  <c r="F65" i="3"/>
  <c r="G65" i="3" s="1"/>
  <c r="F69" i="3"/>
  <c r="G69" i="3" s="1"/>
  <c r="B74" i="3"/>
  <c r="D74" i="3" s="1"/>
  <c r="D77" i="3"/>
  <c r="F68" i="3"/>
  <c r="G68" i="3" s="1"/>
  <c r="F63" i="3"/>
  <c r="G63" i="3" s="1"/>
  <c r="F66" i="3"/>
  <c r="G66" i="3" s="1"/>
  <c r="F67" i="3"/>
  <c r="G67" i="3" s="1"/>
  <c r="D26" i="3"/>
  <c r="E21" i="3" s="1"/>
  <c r="G206" i="3" l="1"/>
  <c r="B217" i="3" s="1"/>
  <c r="D217" i="3" s="1"/>
  <c r="G205" i="3"/>
  <c r="B216" i="3" s="1"/>
  <c r="D216" i="3" s="1"/>
  <c r="G204" i="3"/>
  <c r="B215" i="3" s="1"/>
  <c r="D215" i="3" s="1"/>
  <c r="G201" i="3"/>
  <c r="B212" i="3" s="1"/>
  <c r="G202" i="3"/>
  <c r="B213" i="3" s="1"/>
  <c r="D213" i="3" s="1"/>
  <c r="G207" i="3"/>
  <c r="B218" i="3" s="1"/>
  <c r="D218" i="3" s="1"/>
  <c r="G115" i="3"/>
  <c r="B127" i="3" s="1"/>
  <c r="D127" i="3" s="1"/>
  <c r="G116" i="3"/>
  <c r="B128" i="3" s="1"/>
  <c r="D128" i="3" s="1"/>
  <c r="G114" i="3"/>
  <c r="B126" i="3" s="1"/>
  <c r="D126" i="3" s="1"/>
  <c r="G113" i="3"/>
  <c r="B125" i="3" s="1"/>
  <c r="D125" i="3" s="1"/>
  <c r="G112" i="3"/>
  <c r="B124" i="3" s="1"/>
  <c r="D124" i="3" s="1"/>
  <c r="F208" i="3"/>
  <c r="G208" i="3" s="1"/>
  <c r="F117" i="3"/>
  <c r="F162" i="3"/>
  <c r="G162" i="3"/>
  <c r="D123" i="3"/>
  <c r="B122" i="3"/>
  <c r="B82" i="3"/>
  <c r="D82" i="3" s="1"/>
  <c r="B78" i="3"/>
  <c r="D78" i="3" s="1"/>
  <c r="B80" i="3"/>
  <c r="D80" i="3" s="1"/>
  <c r="B76" i="3"/>
  <c r="D76" i="3" s="1"/>
  <c r="B79" i="3"/>
  <c r="D79" i="3" s="1"/>
  <c r="E25" i="3"/>
  <c r="F25" i="3" s="1"/>
  <c r="G25" i="3" s="1"/>
  <c r="B34" i="3" s="1"/>
  <c r="B81" i="3"/>
  <c r="D81" i="3" s="1"/>
  <c r="F70" i="3"/>
  <c r="G70" i="3" s="1"/>
  <c r="B83" i="3" s="1"/>
  <c r="E23" i="3"/>
  <c r="F23" i="3" s="1"/>
  <c r="E24" i="3"/>
  <c r="F24" i="3" s="1"/>
  <c r="G24" i="3" s="1"/>
  <c r="B33" i="3" s="1"/>
  <c r="E22" i="3"/>
  <c r="D212" i="3" l="1"/>
  <c r="B219" i="3"/>
  <c r="G117" i="3"/>
  <c r="B129" i="3"/>
  <c r="D122" i="3"/>
  <c r="F26" i="3"/>
  <c r="G26" i="3" s="1"/>
  <c r="G23" i="3"/>
  <c r="B32" i="3" s="1"/>
  <c r="B35" i="3" s="1"/>
  <c r="F103" i="1" l="1"/>
  <c r="D103" i="1"/>
  <c r="C104" i="1"/>
  <c r="B104" i="1"/>
  <c r="F104" i="1" s="1"/>
  <c r="F102" i="1"/>
  <c r="D102" i="1"/>
  <c r="F101" i="1"/>
  <c r="D101" i="1"/>
  <c r="C77" i="1"/>
  <c r="B77" i="1"/>
  <c r="F77" i="1" s="1"/>
  <c r="F76" i="1"/>
  <c r="D76" i="1"/>
  <c r="F75" i="1"/>
  <c r="D75" i="1"/>
  <c r="D77" i="1" l="1"/>
  <c r="E76" i="1" s="1"/>
  <c r="D104" i="1"/>
  <c r="E102" i="1" s="1"/>
  <c r="E75" i="1" l="1"/>
  <c r="E101" i="1"/>
  <c r="E103" i="1"/>
  <c r="C107" i="1"/>
  <c r="B107" i="1"/>
  <c r="C85" i="1"/>
  <c r="B85" i="1"/>
  <c r="B86" i="1" s="1"/>
  <c r="B93" i="1" l="1"/>
  <c r="D86" i="1"/>
  <c r="D87" i="1" s="1"/>
  <c r="B108" i="1"/>
  <c r="B115" i="1" s="1"/>
  <c r="C108" i="1"/>
  <c r="C115" i="1" s="1"/>
  <c r="C86" i="1"/>
  <c r="B87" i="1"/>
  <c r="D93" i="1" s="1"/>
  <c r="B109" i="1" l="1"/>
  <c r="D115" i="1" s="1"/>
  <c r="C87" i="1"/>
  <c r="C93" i="1"/>
  <c r="C109" i="1"/>
  <c r="C57" i="1"/>
  <c r="B57" i="1"/>
  <c r="F57" i="1" s="1"/>
  <c r="F56" i="1"/>
  <c r="C62" i="1" s="1"/>
  <c r="D56" i="1"/>
  <c r="F55" i="1"/>
  <c r="D55" i="1"/>
  <c r="D57" i="1" l="1"/>
  <c r="E56" i="1" s="1"/>
  <c r="C60" i="1" s="1"/>
  <c r="C35" i="1"/>
  <c r="B35" i="1"/>
  <c r="F35" i="1" s="1"/>
  <c r="F34" i="1"/>
  <c r="C40" i="1" s="1"/>
  <c r="D34" i="1"/>
  <c r="F33" i="1"/>
  <c r="D33" i="1"/>
  <c r="C13" i="1"/>
  <c r="B13" i="1"/>
  <c r="F13" i="1" s="1"/>
  <c r="F12" i="1"/>
  <c r="D12" i="1"/>
  <c r="F11" i="1"/>
  <c r="D11" i="1"/>
  <c r="D13" i="1" l="1"/>
  <c r="E12" i="1" s="1"/>
  <c r="B16" i="1" s="1"/>
  <c r="B60" i="1"/>
  <c r="B61" i="1" s="1"/>
  <c r="B68" i="1" s="1"/>
  <c r="E55" i="1"/>
  <c r="D35" i="1"/>
  <c r="E34" i="1" s="1"/>
  <c r="B58" i="4"/>
  <c r="B56" i="4"/>
  <c r="E48" i="4"/>
  <c r="C37" i="4"/>
  <c r="A37" i="4"/>
  <c r="A33" i="4"/>
  <c r="C33" i="4"/>
  <c r="B33" i="4"/>
  <c r="B37" i="4" s="1"/>
  <c r="F29" i="4"/>
  <c r="F28" i="4"/>
  <c r="E29" i="4"/>
  <c r="E28" i="4"/>
  <c r="D30" i="4"/>
  <c r="C30" i="4"/>
  <c r="D29" i="4"/>
  <c r="D28" i="4"/>
  <c r="B62" i="1" l="1"/>
  <c r="C16" i="1"/>
  <c r="C17" i="1" s="1"/>
  <c r="E11" i="1"/>
  <c r="E33" i="1"/>
  <c r="B17" i="1"/>
  <c r="C38" i="1"/>
  <c r="B38" i="1"/>
  <c r="B39" i="1" s="1"/>
  <c r="B47" i="1" s="1"/>
  <c r="E53" i="4"/>
  <c r="D44" i="4"/>
  <c r="C44" i="4"/>
  <c r="B44" i="4"/>
  <c r="E44" i="4" s="1"/>
  <c r="E43" i="4"/>
  <c r="E42" i="4"/>
  <c r="B30" i="4"/>
  <c r="D68" i="1" l="1"/>
  <c r="B18" i="1"/>
  <c r="D25" i="1" s="1"/>
  <c r="B25" i="1"/>
  <c r="C18" i="1"/>
  <c r="C25" i="1"/>
  <c r="B40" i="1"/>
  <c r="F9" i="4"/>
  <c r="F8" i="4"/>
  <c r="D9" i="4"/>
  <c r="D8" i="4"/>
  <c r="C10" i="4"/>
  <c r="B10" i="4" l="1"/>
  <c r="D10" i="4" s="1"/>
  <c r="D47" i="1" l="1"/>
  <c r="E8" i="4"/>
  <c r="E9" i="4"/>
  <c r="B13" i="4" l="1"/>
  <c r="A13" i="4"/>
  <c r="A17" i="4" s="1"/>
  <c r="C17" i="4" s="1"/>
  <c r="C13" i="4" s="1"/>
  <c r="B17" i="4" l="1"/>
</calcChain>
</file>

<file path=xl/sharedStrings.xml><?xml version="1.0" encoding="utf-8"?>
<sst xmlns="http://schemas.openxmlformats.org/spreadsheetml/2006/main" count="452" uniqueCount="129">
  <si>
    <t>Schwende</t>
  </si>
  <si>
    <t>Rüte</t>
  </si>
  <si>
    <t>Schlatt</t>
  </si>
  <si>
    <t>Haslen</t>
  </si>
  <si>
    <t>Total</t>
  </si>
  <si>
    <t>Differenz</t>
  </si>
  <si>
    <t>Durchschnitt</t>
  </si>
  <si>
    <t>Fusion Bezirke Schwende und Rüte</t>
  </si>
  <si>
    <t>Fusion Schulgemeinden Schlatt und Haslen</t>
  </si>
  <si>
    <t>Finanzausgleich Haslen</t>
  </si>
  <si>
    <t>Finanzausgleich Schlatt</t>
  </si>
  <si>
    <t>Härtefallausgleich</t>
  </si>
  <si>
    <t>Finanzausgleich nach Fusion</t>
  </si>
  <si>
    <t>FA 2017</t>
  </si>
  <si>
    <t>FA 2018</t>
  </si>
  <si>
    <t>Einwohner</t>
  </si>
  <si>
    <t>Kantonsbeitrag für Fusionen und Auswirkung auf Finanzausgleich</t>
  </si>
  <si>
    <t>Kantonsbeitrag</t>
  </si>
  <si>
    <t>Steuerkraft 2017 (31.10.2018)</t>
  </si>
  <si>
    <t>FA 2019</t>
  </si>
  <si>
    <t>Steuerkraft 2017 / Person</t>
  </si>
  <si>
    <t>Ausgleich voll</t>
  </si>
  <si>
    <t xml:space="preserve">1 Steuerpunkt </t>
  </si>
  <si>
    <t>Ausgleich mit Sockel 100</t>
  </si>
  <si>
    <t>Steuersprung ohne Sockel (Anzahl Steuerpunkte)</t>
  </si>
  <si>
    <t>Ausgleich mit Abzug 3 Steuerpunkte</t>
  </si>
  <si>
    <t>Steuersprung mit Sockel 100 (Anzahl Steuerpunkte)</t>
  </si>
  <si>
    <t>Steuersprung nach Abzug 3 Steuerpunkte</t>
  </si>
  <si>
    <t xml:space="preserve">Zuzüge </t>
  </si>
  <si>
    <t>wegfallende Härtefallbeiträge</t>
  </si>
  <si>
    <t>wegfallender Finanzausgleich</t>
  </si>
  <si>
    <t>Voll + FA</t>
  </si>
  <si>
    <t>Zuschlag Finanzausgleich</t>
  </si>
  <si>
    <t>Sockel 100 + FA</t>
  </si>
  <si>
    <t>Sockel 3% + FA</t>
  </si>
  <si>
    <t xml:space="preserve">Ausgleich </t>
  </si>
  <si>
    <t>Ausgleich mit Abzug 2 Steuerpunkte</t>
  </si>
  <si>
    <t>Sockel 2% + FA</t>
  </si>
  <si>
    <t>Zuschlag Finanzausgleich (- Zuschlag, + kein Zuschlag)</t>
  </si>
  <si>
    <t>Vergleich altes Modell - neues Modell</t>
  </si>
  <si>
    <t>Fusion</t>
  </si>
  <si>
    <t>Schwende-Rüte</t>
  </si>
  <si>
    <t>Schlatt-Haslen</t>
  </si>
  <si>
    <t>Brülisau-Schwende</t>
  </si>
  <si>
    <t xml:space="preserve">Brülisau-Steinegg </t>
  </si>
  <si>
    <t>Brülisau-Steinegg-Eggerstanden</t>
  </si>
  <si>
    <t>Brülisau</t>
  </si>
  <si>
    <t>Steinegg</t>
  </si>
  <si>
    <t>Härtefallbeiträge</t>
  </si>
  <si>
    <t>Voll + FA + Härte</t>
  </si>
  <si>
    <t>Eggerstanden</t>
  </si>
  <si>
    <t>Steuerkraft 2017</t>
  </si>
  <si>
    <t>Steuerkraft 2017
per 31.12.2018</t>
  </si>
  <si>
    <t>Differenz in Fr.</t>
  </si>
  <si>
    <t xml:space="preserve">Wert 1 Steuerpunkt </t>
  </si>
  <si>
    <t>Bezirk</t>
  </si>
  <si>
    <t>Steuerkraftverlust</t>
  </si>
  <si>
    <t>Anpassung Durchschnitt Steuerfuss 2016-2018 (20.7%)</t>
  </si>
  <si>
    <t>Rüte (- Ausgleich, + kein Ausgleich) in Steuerpunkten</t>
  </si>
  <si>
    <t>Anpassung Durchschnitt Steuerfuss 2016-2018 (60%)</t>
  </si>
  <si>
    <t>Haslen (- Ausgleich, + kein Ausgleich) in Steuerpunkten</t>
  </si>
  <si>
    <t>Schulgemeinde</t>
  </si>
  <si>
    <t>Anpassung Durchschnitt Steuerfuss 2016-2018 (70.7%)</t>
  </si>
  <si>
    <t>Schwende (- Ausgleich, + kein Ausgleich) in Steuerpunkten</t>
  </si>
  <si>
    <t>Einwohner per 31.12.2018</t>
  </si>
  <si>
    <t>Anpassung Durchschnitt Steuerfuss 2016-2018 (54.3%)</t>
  </si>
  <si>
    <t>Steinegg (- Ausgleich, + kein Ausgleich) in Steuerpunkten</t>
  </si>
  <si>
    <t>Bezirke</t>
  </si>
  <si>
    <t>Steuerkraft gesamt</t>
  </si>
  <si>
    <t>Abweichung</t>
  </si>
  <si>
    <t>Steuerkraft-</t>
  </si>
  <si>
    <t>definitiver</t>
  </si>
  <si>
    <t>Steuerkraft</t>
  </si>
  <si>
    <t>ausgleich</t>
  </si>
  <si>
    <t>Ausgleich in Fr.</t>
  </si>
  <si>
    <t>zum arithm. Mittel</t>
  </si>
  <si>
    <t>Appenzell</t>
  </si>
  <si>
    <t>Fusion Rüte/Schwende</t>
  </si>
  <si>
    <t>Gonten</t>
  </si>
  <si>
    <t>Oberegg</t>
  </si>
  <si>
    <t>Schulgemeinden</t>
  </si>
  <si>
    <t>Abweichung zu</t>
  </si>
  <si>
    <t>pro Einwohner</t>
  </si>
  <si>
    <t>Steuerkraft Soll</t>
  </si>
  <si>
    <t>Meistersrüte</t>
  </si>
  <si>
    <t>Bezirk Oberegg</t>
  </si>
  <si>
    <t xml:space="preserve">Haslen </t>
  </si>
  <si>
    <t>Beispiel 1: Fusion Bezirke Schwende und Rüte</t>
  </si>
  <si>
    <t>Beispiel 2: Fusion Schulgemeinden Schlatt und Haslen</t>
  </si>
  <si>
    <t>Beispiel 3: Fusion Schulgemeinden Brülisau-Schwende</t>
  </si>
  <si>
    <t>Beispiel 4: Fusion Schulgemeinden Brülisau-Steinegg</t>
  </si>
  <si>
    <t>Beispiel 5: Fusion Schulgemeinden Brülisau-Steinegg-Eggerstanden</t>
  </si>
  <si>
    <t>24 Steuerpunkte</t>
  </si>
  <si>
    <t>mit Fusion
Ausgleich in Fr.</t>
  </si>
  <si>
    <t>ohne Fusion
Ausgleich in Fr.</t>
  </si>
  <si>
    <t>per 31.12.2018</t>
  </si>
  <si>
    <t>Steinegg-Brülisau</t>
  </si>
  <si>
    <t>Beispiel 4: Fusion Schulgemeinden Steinegg-Brülisau</t>
  </si>
  <si>
    <t>Steinegg-Brülisau-Eggerst.</t>
  </si>
  <si>
    <t>Steinegg-Brülisau-Brülisau</t>
  </si>
  <si>
    <t>Härtefallbeitrag Eggerst./Brülisau</t>
  </si>
  <si>
    <t>Mit Steuerfussausgleich</t>
  </si>
  <si>
    <t>Mit Steuerkraftausgleich</t>
  </si>
  <si>
    <t>arithm. Durchschnitt</t>
  </si>
  <si>
    <t>gerundeter Durchschnitt</t>
  </si>
  <si>
    <t>2018 bei Fusion</t>
  </si>
  <si>
    <t>Veränderung durchschnittlicher Steuerfuss Bezirke (für Finanzausgleich Ressourcen relevant)</t>
  </si>
  <si>
    <t>Veränderung durchschnittlicher Steuerfuss Schulgemeinden (für Finanzausgleich Ressourcen relevant)</t>
  </si>
  <si>
    <t>Schlatt/Haslen</t>
  </si>
  <si>
    <t xml:space="preserve">durchschnittl. </t>
  </si>
  <si>
    <t>Steuern 63%</t>
  </si>
  <si>
    <t>Steuern 62%</t>
  </si>
  <si>
    <t>Brülisau-Steinegg</t>
  </si>
  <si>
    <t>Annahme 5% mehr als Steinegg heute</t>
  </si>
  <si>
    <t>Brülisau-Steinegg-Eggerst.</t>
  </si>
  <si>
    <t>Annahme 7% mehr als Steinegg heute</t>
  </si>
  <si>
    <t>Steuern 60%</t>
  </si>
  <si>
    <t>Annahme 4% mehr als Schwende heute</t>
  </si>
  <si>
    <t>Annahme 2% mehr als Haslen heute</t>
  </si>
  <si>
    <t>Annahme 2% mehr als Rüte heute</t>
  </si>
  <si>
    <t>Kein Ausgleich</t>
  </si>
  <si>
    <t>Ausgleich</t>
  </si>
  <si>
    <t xml:space="preserve">Kantonsbeiträge für Fusionen </t>
  </si>
  <si>
    <t xml:space="preserve">Datenbasis für die nachfolgenden Beispiele bilden die heutigen Verhältnisse. </t>
  </si>
  <si>
    <t>Die effektiven Beiträge werden anhand der dannzumaligen Verhältnisse bestimmt und können daher deutlich abweichen.</t>
  </si>
  <si>
    <t>Siehe Berechnung Blatt "Auswirkungen von Fusionen auf Finanzausgleich"</t>
  </si>
  <si>
    <t>Auswirkungen von Fusionen auf Finanzausgleich</t>
  </si>
  <si>
    <t>Für Bezirke werden seit Jahren keine Härtefälle mehr ausbezahlt.</t>
  </si>
  <si>
    <t>Siehe Berechnung Blatt "Auswirkungen von Fusionen auf Finanzausgleich".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</si>
</sst>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0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quotePrefix="1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2" borderId="0" xfId="0" applyNumberFormat="1" applyFill="1"/>
    <xf numFmtId="1" fontId="0" fillId="2" borderId="0" xfId="0" applyNumberForma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164" fontId="0" fillId="0" borderId="0" xfId="1" applyNumberFormat="1" applyFont="1" applyFill="1" applyAlignment="1">
      <alignment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0" fillId="5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6" fillId="4" borderId="5" xfId="0" applyFont="1" applyFill="1" applyBorder="1" applyAlignment="1">
      <alignment vertical="top" wrapText="1"/>
    </xf>
    <xf numFmtId="0" fontId="0" fillId="0" borderId="4" xfId="0" applyFont="1" applyBorder="1" applyAlignment="1">
      <alignment wrapText="1"/>
    </xf>
    <xf numFmtId="0" fontId="0" fillId="0" borderId="0" xfId="0" applyAlignment="1">
      <alignment vertical="top"/>
    </xf>
    <xf numFmtId="0" fontId="6" fillId="4" borderId="1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0" fontId="6" fillId="4" borderId="6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6" fillId="4" borderId="11" xfId="0" applyFont="1" applyFill="1" applyBorder="1" applyAlignment="1">
      <alignment wrapText="1"/>
    </xf>
    <xf numFmtId="0" fontId="6" fillId="4" borderId="11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0" fillId="6" borderId="0" xfId="0" applyFill="1"/>
    <xf numFmtId="164" fontId="0" fillId="6" borderId="0" xfId="1" applyNumberFormat="1" applyFont="1" applyFill="1"/>
    <xf numFmtId="0" fontId="6" fillId="4" borderId="3" xfId="0" applyFont="1" applyFill="1" applyBorder="1" applyAlignment="1">
      <alignment vertical="top"/>
    </xf>
    <xf numFmtId="0" fontId="0" fillId="0" borderId="0" xfId="0" applyFill="1"/>
    <xf numFmtId="164" fontId="0" fillId="0" borderId="0" xfId="1" applyNumberFormat="1" applyFont="1" applyAlignment="1">
      <alignment horizontal="left"/>
    </xf>
    <xf numFmtId="164" fontId="0" fillId="2" borderId="0" xfId="1" applyNumberFormat="1" applyFont="1" applyFill="1"/>
    <xf numFmtId="164" fontId="0" fillId="3" borderId="0" xfId="1" applyNumberFormat="1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10" fillId="6" borderId="13" xfId="0" applyFont="1" applyFill="1" applyBorder="1"/>
    <xf numFmtId="0" fontId="10" fillId="6" borderId="13" xfId="0" applyFont="1" applyFill="1" applyBorder="1" applyAlignment="1">
      <alignment horizontal="right"/>
    </xf>
    <xf numFmtId="0" fontId="7" fillId="0" borderId="13" xfId="0" applyFont="1" applyBorder="1"/>
    <xf numFmtId="0" fontId="0" fillId="0" borderId="13" xfId="0" applyBorder="1"/>
    <xf numFmtId="0" fontId="7" fillId="6" borderId="13" xfId="0" applyFont="1" applyFill="1" applyBorder="1"/>
    <xf numFmtId="0" fontId="0" fillId="6" borderId="13" xfId="0" applyFill="1" applyBorder="1"/>
    <xf numFmtId="2" fontId="0" fillId="0" borderId="13" xfId="0" applyNumberFormat="1" applyBorder="1"/>
    <xf numFmtId="0" fontId="8" fillId="0" borderId="13" xfId="0" applyFont="1" applyBorder="1"/>
    <xf numFmtId="0" fontId="0" fillId="0" borderId="13" xfId="0" applyFill="1" applyBorder="1"/>
    <xf numFmtId="0" fontId="8" fillId="6" borderId="13" xfId="0" applyFont="1" applyFill="1" applyBorder="1"/>
    <xf numFmtId="0" fontId="8" fillId="6" borderId="13" xfId="0" applyFont="1" applyFill="1" applyBorder="1" applyAlignment="1">
      <alignment horizontal="right"/>
    </xf>
    <xf numFmtId="1" fontId="0" fillId="6" borderId="13" xfId="0" applyNumberFormat="1" applyFill="1" applyBorder="1"/>
    <xf numFmtId="0" fontId="0" fillId="0" borderId="14" xfId="0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0" fontId="0" fillId="0" borderId="17" xfId="0" applyBorder="1"/>
    <xf numFmtId="164" fontId="0" fillId="0" borderId="13" xfId="1" applyNumberFormat="1" applyFont="1" applyBorder="1"/>
    <xf numFmtId="164" fontId="0" fillId="0" borderId="18" xfId="1" applyNumberFormat="1" applyFont="1" applyBorder="1"/>
    <xf numFmtId="0" fontId="0" fillId="6" borderId="17" xfId="0" applyFill="1" applyBorder="1"/>
    <xf numFmtId="164" fontId="0" fillId="6" borderId="18" xfId="1" applyNumberFormat="1" applyFont="1" applyFill="1" applyBorder="1"/>
    <xf numFmtId="0" fontId="0" fillId="0" borderId="19" xfId="0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3" fontId="7" fillId="0" borderId="13" xfId="0" applyNumberFormat="1" applyFont="1" applyFill="1" applyBorder="1" applyAlignment="1"/>
    <xf numFmtId="3" fontId="7" fillId="0" borderId="13" xfId="0" applyNumberFormat="1" applyFont="1" applyFill="1" applyBorder="1" applyAlignment="1">
      <alignment horizontal="right"/>
    </xf>
    <xf numFmtId="3" fontId="0" fillId="0" borderId="13" xfId="0" applyNumberFormat="1" applyFill="1" applyBorder="1" applyAlignment="1"/>
    <xf numFmtId="3" fontId="0" fillId="0" borderId="13" xfId="0" applyNumberFormat="1" applyFill="1" applyBorder="1" applyAlignment="1">
      <alignment horizontal="right"/>
    </xf>
    <xf numFmtId="164" fontId="0" fillId="0" borderId="13" xfId="1" applyNumberFormat="1" applyFont="1" applyBorder="1" applyAlignment="1">
      <alignment horizontal="right"/>
    </xf>
    <xf numFmtId="164" fontId="0" fillId="0" borderId="13" xfId="1" applyNumberFormat="1" applyFont="1" applyBorder="1" applyAlignment="1">
      <alignment horizontal="right" indent="2"/>
    </xf>
    <xf numFmtId="164" fontId="0" fillId="0" borderId="13" xfId="1" applyNumberFormat="1" applyFont="1" applyBorder="1" applyAlignment="1">
      <alignment horizontal="left" indent="1"/>
    </xf>
    <xf numFmtId="0" fontId="11" fillId="0" borderId="0" xfId="0" applyFont="1" applyAlignment="1"/>
    <xf numFmtId="0" fontId="3" fillId="7" borderId="0" xfId="0" applyFont="1" applyFill="1" applyBorder="1"/>
    <xf numFmtId="14" fontId="3" fillId="7" borderId="0" xfId="0" applyNumberFormat="1" applyFont="1" applyFill="1" applyBorder="1" applyAlignment="1">
      <alignment horizontal="left"/>
    </xf>
    <xf numFmtId="0" fontId="0" fillId="0" borderId="15" xfId="0" applyBorder="1"/>
    <xf numFmtId="3" fontId="7" fillId="0" borderId="15" xfId="0" applyNumberFormat="1" applyFont="1" applyFill="1" applyBorder="1" applyAlignment="1"/>
    <xf numFmtId="3" fontId="7" fillId="0" borderId="15" xfId="0" applyNumberFormat="1" applyFont="1" applyFill="1" applyBorder="1" applyAlignment="1">
      <alignment horizontal="right"/>
    </xf>
    <xf numFmtId="0" fontId="3" fillId="0" borderId="0" xfId="0" applyFont="1" applyBorder="1"/>
    <xf numFmtId="14" fontId="3" fillId="0" borderId="0" xfId="0" applyNumberFormat="1" applyFont="1" applyBorder="1" applyAlignment="1">
      <alignment horizontal="left"/>
    </xf>
    <xf numFmtId="164" fontId="3" fillId="0" borderId="13" xfId="1" applyNumberFormat="1" applyFont="1" applyBorder="1"/>
    <xf numFmtId="0" fontId="0" fillId="0" borderId="27" xfId="0" applyBorder="1"/>
    <xf numFmtId="0" fontId="0" fillId="0" borderId="28" xfId="0" applyBorder="1"/>
    <xf numFmtId="0" fontId="3" fillId="0" borderId="29" xfId="0" applyFont="1" applyBorder="1"/>
    <xf numFmtId="0" fontId="3" fillId="0" borderId="26" xfId="0" applyFont="1" applyBorder="1"/>
    <xf numFmtId="0" fontId="3" fillId="0" borderId="28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7" borderId="22" xfId="0" applyFont="1" applyFill="1" applyBorder="1"/>
    <xf numFmtId="0" fontId="3" fillId="7" borderId="23" xfId="0" applyFont="1" applyFill="1" applyBorder="1"/>
    <xf numFmtId="0" fontId="3" fillId="7" borderId="24" xfId="0" applyFont="1" applyFill="1" applyBorder="1"/>
    <xf numFmtId="0" fontId="3" fillId="7" borderId="25" xfId="0" applyFont="1" applyFill="1" applyBorder="1"/>
    <xf numFmtId="0" fontId="3" fillId="7" borderId="26" xfId="0" applyFont="1" applyFill="1" applyBorder="1"/>
    <xf numFmtId="0" fontId="3" fillId="7" borderId="27" xfId="0" applyFont="1" applyFill="1" applyBorder="1"/>
    <xf numFmtId="0" fontId="3" fillId="7" borderId="28" xfId="0" applyFont="1" applyFill="1" applyBorder="1"/>
    <xf numFmtId="0" fontId="3" fillId="7" borderId="28" xfId="0" applyFont="1" applyFill="1" applyBorder="1" applyAlignment="1">
      <alignment horizontal="center"/>
    </xf>
    <xf numFmtId="0" fontId="3" fillId="7" borderId="29" xfId="0" applyFont="1" applyFill="1" applyBorder="1"/>
    <xf numFmtId="0" fontId="3" fillId="0" borderId="27" xfId="0" applyFont="1" applyBorder="1"/>
    <xf numFmtId="0" fontId="3" fillId="0" borderId="28" xfId="0" applyFont="1" applyBorder="1"/>
    <xf numFmtId="0" fontId="3" fillId="0" borderId="0" xfId="0" applyFont="1" applyBorder="1" applyAlignment="1">
      <alignment horizontal="left"/>
    </xf>
    <xf numFmtId="0" fontId="12" fillId="0" borderId="0" xfId="0" applyFont="1" applyAlignment="1"/>
    <xf numFmtId="0" fontId="0" fillId="6" borderId="0" xfId="0" applyFill="1" applyAlignment="1"/>
    <xf numFmtId="0" fontId="0" fillId="6" borderId="0" xfId="0" applyFill="1" applyAlignment="1">
      <alignment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2">
    <cellStyle name="Komma" xfId="1" builtinId="3"/>
    <cellStyle name="Standard" xfId="0" builtinId="0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</dxf>
    <dxf>
      <alignment horizontal="general" vertical="bottom" textRotation="0" wrapText="1" indent="0" justifyLastLine="0" shrinkToFit="0" readingOrder="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1"/>
          <bgColor theme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1"/>
          <bgColor theme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numFmt numFmtId="164" formatCode="_ * #,##0_ ;_ * \-#,##0_ ;_ * &quot;-&quot;??_ ;_ @_ "/>
    </dxf>
    <dxf>
      <alignment horizontal="general" vertical="bottom" textRotation="0" wrapText="1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1"/>
          <bgColor theme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1"/>
          <bgColor theme="1"/>
        </patternFill>
      </fill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9933"/>
      <color rgb="FF00FFFF"/>
      <color rgb="FFCCCCFF"/>
      <color rgb="FF66CCFF"/>
      <color rgb="FF66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elle2" displayName="Tabelle2" ref="A10:F13" totalsRowShown="0" headerRowDxfId="69" dataDxfId="68" dataCellStyle="Komma">
  <autoFilter ref="A10:F13"/>
  <tableColumns count="6">
    <tableColumn id="1" name="Bezirk" dataDxfId="67"/>
    <tableColumn id="2" name="Steuerkraft 2017_x000a_per 31.12.2018" dataDxfId="66" dataCellStyle="Komma"/>
    <tableColumn id="3" name="Einwohner per 31.12.2018" dataDxfId="65" dataCellStyle="Komma"/>
    <tableColumn id="4" name="Steuerkraft 2017 / Person" dataDxfId="64" dataCellStyle="Komma">
      <calculatedColumnFormula>B11/C11</calculatedColumnFormula>
    </tableColumn>
    <tableColumn id="5" name="Differenz in Fr." dataDxfId="63" dataCellStyle="Komma"/>
    <tableColumn id="6" name="Wert 1 Steuerpunkt 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id="13" name="Tabelle13" displayName="Tabelle13" ref="A106:D109" totalsRowShown="0">
  <autoFilter ref="A106:D109"/>
  <tableColumns count="4">
    <tableColumn id="1" name="Steuerkraftverlust"/>
    <tableColumn id="2" name="Ausgleich voll"/>
    <tableColumn id="3" name="Ausgleich mit Sockel 100" dataDxfId="25"/>
    <tableColumn id="4" name="Ausgleich mit Abzug 2 Steuerpunkte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4" name="Tabelle14" displayName="Tabelle14" ref="A29:D35" totalsRowShown="0" dataDxfId="24" dataCellStyle="Komma">
  <autoFilter ref="A29:D35"/>
  <tableColumns count="4">
    <tableColumn id="1" name="Bezirke"/>
    <tableColumn id="2" name="mit Fusion_x000a_Ausgleich in Fr." dataDxfId="23" dataCellStyle="Komma"/>
    <tableColumn id="3" name="ohne Fusion_x000a_Ausgleich in Fr." dataDxfId="22" dataCellStyle="Komma"/>
    <tableColumn id="4" name="Differenz" dataDxfId="21" dataCellStyle="Komma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5" name="Tabelle15" displayName="Tabelle15" ref="A73:D83" totalsRowShown="0" headerRowDxfId="20" dataDxfId="19" dataCellStyle="Komma">
  <autoFilter ref="A73:D83"/>
  <tableColumns count="4">
    <tableColumn id="1" name="Schulgemeinden" dataDxfId="18"/>
    <tableColumn id="2" name="mit Fusion_x000a_Ausgleich in Fr." dataDxfId="17" dataCellStyle="Komma">
      <calculatedColumnFormula>G61</calculatedColumnFormula>
    </tableColumn>
    <tableColumn id="3" name="ohne Fusion_x000a_Ausgleich in Fr." dataDxfId="16" dataCellStyle="Komma"/>
    <tableColumn id="4" name="Differenz" dataDxfId="15" dataCellStyle="Komma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16" name="Tabelle1517" displayName="Tabelle1517" ref="A119:D129" totalsRowShown="0" headerRowDxfId="14" dataDxfId="13" dataCellStyle="Komma">
  <autoFilter ref="A119:D129"/>
  <tableColumns count="4">
    <tableColumn id="1" name="Schulgemeinden"/>
    <tableColumn id="2" name="mit Fusion_x000a_Ausgleich in Fr." dataDxfId="12" dataCellStyle="Komma">
      <calculatedColumnFormula>G107</calculatedColumnFormula>
    </tableColumn>
    <tableColumn id="3" name="ohne Fusion_x000a_Ausgleich in Fr." dataDxfId="11" dataCellStyle="Komma"/>
    <tableColumn id="4" name="Differenz" dataDxfId="10" dataCellStyle="Komma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id="17" name="Tabelle151718" displayName="Tabelle151718" ref="A164:D174" totalsRowShown="0" headerRowDxfId="9" dataDxfId="8" dataCellStyle="Komma">
  <autoFilter ref="A164:D174"/>
  <tableColumns count="4">
    <tableColumn id="1" name="Schulgemeinden"/>
    <tableColumn id="2" name="mit Fusion_x000a_Ausgleich in Fr." dataDxfId="7" dataCellStyle="Komma">
      <calculatedColumnFormula>G152</calculatedColumnFormula>
    </tableColumn>
    <tableColumn id="3" name="ohne Fusion_x000a_Ausgleich in Fr." dataDxfId="6" dataCellStyle="Komma"/>
    <tableColumn id="4" name="Differenz" dataDxfId="5" dataCellStyle="Komma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id="18" name="Tabelle15171819" displayName="Tabelle15171819" ref="A210:D219" totalsRowShown="0" headerRowDxfId="4" dataDxfId="3" dataCellStyle="Komma">
  <autoFilter ref="A210:D219"/>
  <tableColumns count="4">
    <tableColumn id="1" name="Schulgemeinden"/>
    <tableColumn id="2" name="mit Fusion_x000a_Ausgleich in Fr." dataDxfId="2" dataCellStyle="Komma">
      <calculatedColumnFormula>G198</calculatedColumnFormula>
    </tableColumn>
    <tableColumn id="3" name="ohne Fusion_x000a_Ausgleich in Fr." dataDxfId="1" dataCellStyle="Komma"/>
    <tableColumn id="4" name="Differenz" dataDxfId="0" dataCellStyle="Komm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5" name="Tabelle5" displayName="Tabelle5" ref="A15:D18" totalsRowShown="0">
  <autoFilter ref="A15:D18"/>
  <tableColumns count="4">
    <tableColumn id="1" name="Steuerkraftverlust" dataDxfId="62"/>
    <tableColumn id="2" name="Ausgleich voll"/>
    <tableColumn id="3" name="Ausgleich mit Sockel 100"/>
    <tableColumn id="4" name="Ausgleich mit Abzug 2 Steuerpunkte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6" name="Tabelle6" displayName="Tabelle6" ref="A32:F35" totalsRowShown="0" headerRowDxfId="61" dataDxfId="60" dataCellStyle="Komma">
  <autoFilter ref="A32:F35"/>
  <tableColumns count="6">
    <tableColumn id="1" name="Schulgemeinde" dataDxfId="59"/>
    <tableColumn id="2" name="Steuerkraft 2017_x000a_per 31.12.2018" dataDxfId="58" dataCellStyle="Komma"/>
    <tableColumn id="3" name="Einwohner per 31.12.2018" dataDxfId="57" dataCellStyle="Komma"/>
    <tableColumn id="4" name="Steuerkraft 2017 / Person" dataDxfId="56" dataCellStyle="Komma">
      <calculatedColumnFormula>B33/C33</calculatedColumnFormula>
    </tableColumn>
    <tableColumn id="5" name="Differenz in Fr." dataDxfId="55" dataCellStyle="Komma"/>
    <tableColumn id="6" name="Wert 1 Steuerpunkt " dataDxfId="54" dataCellStyle="Komma">
      <calculatedColumnFormula>B33/100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7" name="Tabelle7" displayName="Tabelle7" ref="A37:D40" totalsRowShown="0">
  <autoFilter ref="A37:D40"/>
  <tableColumns count="4">
    <tableColumn id="1" name="Steuerkraftverlust"/>
    <tableColumn id="2" name="Ausgleich voll"/>
    <tableColumn id="3" name="Ausgleich mit Sockel 100"/>
    <tableColumn id="4" name="Ausgleich mit Abzug 2 Steuerpunkte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8" name="Tabelle8" displayName="Tabelle8" ref="A54:F57" totalsRowShown="0" headerRowDxfId="53" headerRowBorderDxfId="52" tableBorderDxfId="51">
  <autoFilter ref="A54:F57"/>
  <tableColumns count="6">
    <tableColumn id="1" name="Schulgemeinde" dataDxfId="50"/>
    <tableColumn id="2" name="Steuerkraft 2017_x000a_per 31.12.2018" dataDxfId="49" dataCellStyle="Komma"/>
    <tableColumn id="3" name="Einwohner per 31.12.2018" dataDxfId="48" dataCellStyle="Komma"/>
    <tableColumn id="4" name="Steuerkraft 2017 / Person" dataDxfId="47" dataCellStyle="Komma">
      <calculatedColumnFormula>B55/C55</calculatedColumnFormula>
    </tableColumn>
    <tableColumn id="5" name="Differenz in Fr." dataDxfId="46" dataCellStyle="Komma"/>
    <tableColumn id="6" name="Wert 1 Steuerpunkt " dataDxfId="45" dataCellStyle="Komma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id="9" name="Tabelle9" displayName="Tabelle9" ref="A59:D62" totalsRowShown="0">
  <autoFilter ref="A59:D62"/>
  <tableColumns count="4">
    <tableColumn id="1" name="Steuerkraftverlust"/>
    <tableColumn id="2" name="Ausgleich voll"/>
    <tableColumn id="3" name="Ausgleich mit Sockel 100"/>
    <tableColumn id="4" name="Ausgleich mit Abzug 2 Steuerpunkte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10" name="Tabelle10" displayName="Tabelle10" ref="A74:F77" totalsRowShown="0" headerRowDxfId="44" dataDxfId="42" headerRowBorderDxfId="43" tableBorderDxfId="41" dataCellStyle="Komma">
  <autoFilter ref="A74:F77"/>
  <tableColumns count="6">
    <tableColumn id="1" name="Schulgemeinde" dataDxfId="40"/>
    <tableColumn id="2" name="Steuerkraft 2017_x000a_per 31.12.2018"/>
    <tableColumn id="3" name="Einwohner per 31.12.2018"/>
    <tableColumn id="4" name="Steuerkraft 2017 / Person" dataDxfId="39" dataCellStyle="Komma">
      <calculatedColumnFormula>B75/C75</calculatedColumnFormula>
    </tableColumn>
    <tableColumn id="5" name="Differenz in Fr." dataDxfId="38" dataCellStyle="Komma"/>
    <tableColumn id="6" name="Wert 1 Steuerpunkt " dataDxfId="37" dataCellStyle="Komma">
      <calculatedColumnFormula>B75/100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11" name="Tabelle11" displayName="Tabelle11" ref="A84:D87" totalsRowShown="0">
  <autoFilter ref="A84:D87"/>
  <tableColumns count="4">
    <tableColumn id="1" name="Steuerkraftverlust"/>
    <tableColumn id="2" name="Ausgleich voll"/>
    <tableColumn id="3" name="Ausgleich mit Sockel 100" dataDxfId="36"/>
    <tableColumn id="4" name="Ausgleich mit Abzug 2 Steuerpunkte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12" name="Tabelle12" displayName="Tabelle12" ref="A100:F104" totalsRowShown="0" headerRowDxfId="35" dataDxfId="33" headerRowBorderDxfId="34" tableBorderDxfId="32" dataCellStyle="Komma">
  <autoFilter ref="A100:F104"/>
  <tableColumns count="6">
    <tableColumn id="1" name="Schulgemeinde" dataDxfId="31"/>
    <tableColumn id="2" name="Steuerkraft 2017_x000a_per 31.12.2018" dataDxfId="30" dataCellStyle="Komma"/>
    <tableColumn id="3" name="Einwohner per 31.12.2018" dataDxfId="29" dataCellStyle="Komma"/>
    <tableColumn id="4" name="Steuerkraft 2017 / Person" dataDxfId="28" dataCellStyle="Komma">
      <calculatedColumnFormula>B101/C101</calculatedColumnFormula>
    </tableColumn>
    <tableColumn id="5" name="Differenz in Fr." dataDxfId="27" dataCellStyle="Komma"/>
    <tableColumn id="6" name="Wert 1 Steuerpunkt " dataDxfId="26" dataCellStyle="Komma">
      <calculatedColumnFormula>B101/100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6"/>
  <sheetViews>
    <sheetView tabSelected="1" view="pageLayout" topLeftCell="A115" zoomScaleNormal="85" workbookViewId="0">
      <selection sqref="A1:I117"/>
    </sheetView>
  </sheetViews>
  <sheetFormatPr baseColWidth="10" defaultRowHeight="12.75" x14ac:dyDescent="0.2"/>
  <cols>
    <col min="1" max="1" width="27.7109375" customWidth="1"/>
    <col min="2" max="2" width="15.7109375" customWidth="1"/>
    <col min="3" max="3" width="26.42578125" customWidth="1"/>
    <col min="4" max="4" width="33.42578125" customWidth="1"/>
    <col min="5" max="5" width="16.5703125" customWidth="1"/>
    <col min="6" max="6" width="21.7109375" customWidth="1"/>
    <col min="7" max="7" width="11" customWidth="1"/>
    <col min="9" max="9" width="13.28515625" customWidth="1"/>
    <col min="10" max="10" width="18.42578125" customWidth="1"/>
    <col min="12" max="12" width="15.5703125" customWidth="1"/>
    <col min="13" max="14" width="16.140625" customWidth="1"/>
    <col min="15" max="15" width="16.28515625" customWidth="1"/>
    <col min="16" max="16" width="14.85546875" customWidth="1"/>
  </cols>
  <sheetData>
    <row r="1" spans="1:22" ht="20.25" x14ac:dyDescent="0.3">
      <c r="A1" s="115" t="s">
        <v>122</v>
      </c>
      <c r="B1" s="4"/>
      <c r="C1" s="4"/>
      <c r="D1" s="4"/>
      <c r="E1" s="4"/>
      <c r="F1" s="4"/>
      <c r="G1" s="4"/>
    </row>
    <row r="2" spans="1:22" ht="20.25" x14ac:dyDescent="0.3">
      <c r="A2" s="115"/>
      <c r="B2" s="4"/>
      <c r="C2" s="4"/>
      <c r="D2" s="4"/>
      <c r="E2" s="4"/>
      <c r="F2" s="4"/>
      <c r="G2" s="4"/>
    </row>
    <row r="3" spans="1:22" x14ac:dyDescent="0.2">
      <c r="A3" s="116" t="s">
        <v>123</v>
      </c>
      <c r="B3" s="117"/>
      <c r="C3" s="117"/>
      <c r="D3" s="117"/>
      <c r="E3" s="4"/>
      <c r="F3" s="4"/>
      <c r="G3" s="4"/>
      <c r="N3" s="4"/>
      <c r="O3" s="4"/>
      <c r="P3" s="4"/>
      <c r="Q3" s="4"/>
    </row>
    <row r="4" spans="1:22" x14ac:dyDescent="0.2">
      <c r="A4" s="116" t="s">
        <v>124</v>
      </c>
      <c r="B4" s="117"/>
      <c r="C4" s="117"/>
      <c r="D4" s="117"/>
      <c r="E4" s="4"/>
      <c r="F4" s="4"/>
      <c r="G4" s="4"/>
      <c r="N4" s="4"/>
      <c r="O4" s="4"/>
      <c r="P4" s="4"/>
      <c r="Q4" s="4"/>
    </row>
    <row r="5" spans="1:22" x14ac:dyDescent="0.2">
      <c r="A5" s="4"/>
      <c r="B5" s="4"/>
      <c r="C5" s="4"/>
      <c r="D5" s="4"/>
      <c r="E5" s="4"/>
      <c r="F5" s="4"/>
      <c r="G5" s="4"/>
      <c r="N5" s="4"/>
      <c r="O5" s="4"/>
      <c r="P5" s="4"/>
      <c r="Q5" s="4"/>
    </row>
    <row r="6" spans="1:22" ht="15.75" x14ac:dyDescent="0.25">
      <c r="A6" s="12" t="s">
        <v>87</v>
      </c>
      <c r="B6" s="4"/>
      <c r="C6" s="4"/>
      <c r="D6" s="4"/>
      <c r="E6" s="4"/>
      <c r="F6" s="4"/>
      <c r="G6" s="4"/>
      <c r="Q6" s="2"/>
    </row>
    <row r="7" spans="1:22" ht="15.75" x14ac:dyDescent="0.25">
      <c r="A7" s="19"/>
      <c r="B7" s="4"/>
      <c r="C7" s="4"/>
      <c r="D7" s="4"/>
      <c r="E7" s="4"/>
      <c r="F7" s="4"/>
      <c r="G7" s="4"/>
      <c r="Q7" s="2"/>
    </row>
    <row r="8" spans="1:22" x14ac:dyDescent="0.2">
      <c r="A8" s="13" t="s">
        <v>17</v>
      </c>
      <c r="B8" s="4"/>
      <c r="C8" s="4"/>
      <c r="D8" s="4"/>
      <c r="E8" s="4"/>
      <c r="F8" s="4"/>
      <c r="G8" s="4"/>
      <c r="Q8" s="2"/>
    </row>
    <row r="9" spans="1:22" x14ac:dyDescent="0.2">
      <c r="A9" s="4"/>
      <c r="B9" s="4"/>
      <c r="C9" s="4"/>
      <c r="D9" s="4"/>
      <c r="E9" s="4"/>
      <c r="F9" s="4"/>
      <c r="G9" s="4"/>
      <c r="H9" s="4"/>
      <c r="I9" s="4"/>
      <c r="N9" s="4"/>
      <c r="O9" s="4"/>
      <c r="P9" s="4"/>
      <c r="Q9" s="4"/>
    </row>
    <row r="10" spans="1:22" ht="25.5" x14ac:dyDescent="0.2">
      <c r="A10" s="24" t="s">
        <v>55</v>
      </c>
      <c r="B10" s="4" t="s">
        <v>52</v>
      </c>
      <c r="C10" s="24" t="s">
        <v>64</v>
      </c>
      <c r="D10" s="4" t="s">
        <v>20</v>
      </c>
      <c r="E10" s="4" t="s">
        <v>53</v>
      </c>
      <c r="F10" s="4" t="s">
        <v>54</v>
      </c>
      <c r="G10" s="4"/>
      <c r="Q10" s="1"/>
    </row>
    <row r="11" spans="1:22" x14ac:dyDescent="0.2">
      <c r="A11" s="4" t="s">
        <v>0</v>
      </c>
      <c r="B11" s="21">
        <v>5600405.9100000001</v>
      </c>
      <c r="C11" s="21">
        <v>2199</v>
      </c>
      <c r="D11" s="21">
        <f>B11/C11</f>
        <v>2546.796684856753</v>
      </c>
      <c r="E11" s="21">
        <f>D13-D11</f>
        <v>183.11170858026617</v>
      </c>
      <c r="F11" s="21">
        <f>B11/100</f>
        <v>56004.059099999999</v>
      </c>
      <c r="G11" s="4"/>
      <c r="I11" s="2"/>
      <c r="Q11" s="1"/>
    </row>
    <row r="12" spans="1:22" x14ac:dyDescent="0.2">
      <c r="A12" s="4" t="s">
        <v>1</v>
      </c>
      <c r="B12" s="21">
        <v>10372288.1</v>
      </c>
      <c r="C12" s="21">
        <v>3652</v>
      </c>
      <c r="D12" s="21">
        <f>B12/C12</f>
        <v>2840.1665115005476</v>
      </c>
      <c r="E12" s="21">
        <f>D13-D12</f>
        <v>-110.2581180635284</v>
      </c>
      <c r="F12" s="21">
        <f>B12/100</f>
        <v>103722.88099999999</v>
      </c>
      <c r="G12" s="4"/>
      <c r="I12" s="2"/>
    </row>
    <row r="13" spans="1:22" x14ac:dyDescent="0.2">
      <c r="A13" s="4" t="s">
        <v>4</v>
      </c>
      <c r="B13" s="21">
        <f>SUM(B11:B12)</f>
        <v>15972694.01</v>
      </c>
      <c r="C13" s="21">
        <f>SUM(C11:C12)</f>
        <v>5851</v>
      </c>
      <c r="D13" s="21">
        <f>B13/C13</f>
        <v>2729.9083934370192</v>
      </c>
      <c r="E13" s="21"/>
      <c r="F13" s="21">
        <f>B13/100</f>
        <v>159726.94010000001</v>
      </c>
      <c r="G13" s="4"/>
      <c r="N13" s="4"/>
      <c r="O13" s="4"/>
      <c r="P13" s="4"/>
      <c r="Q13" s="4"/>
    </row>
    <row r="14" spans="1:22" x14ac:dyDescent="0.2">
      <c r="A14" s="4"/>
      <c r="B14" s="4"/>
      <c r="C14" s="4"/>
      <c r="D14" s="4"/>
      <c r="E14" s="4"/>
      <c r="F14" s="4"/>
      <c r="G14" s="4"/>
      <c r="H14" s="1"/>
      <c r="I14" s="2"/>
      <c r="N14" s="2"/>
      <c r="O14" s="2"/>
      <c r="P14" s="2"/>
      <c r="Q14" s="2"/>
    </row>
    <row r="15" spans="1:22" ht="25.5" x14ac:dyDescent="0.2">
      <c r="A15" s="32" t="s">
        <v>56</v>
      </c>
      <c r="B15" s="24" t="s">
        <v>21</v>
      </c>
      <c r="C15" s="24" t="s">
        <v>23</v>
      </c>
      <c r="D15" s="25" t="s">
        <v>36</v>
      </c>
      <c r="E15" s="4"/>
      <c r="F15" s="4"/>
      <c r="G15" s="4"/>
      <c r="N15" s="2"/>
      <c r="O15" s="2"/>
      <c r="P15" s="2"/>
      <c r="Q15" s="2"/>
    </row>
    <row r="16" spans="1:22" x14ac:dyDescent="0.2">
      <c r="A16" s="4" t="s">
        <v>1</v>
      </c>
      <c r="B16" s="22">
        <f>E12*C12</f>
        <v>-402662.6471680057</v>
      </c>
      <c r="C16" s="22">
        <f>(E12+100)*C12</f>
        <v>-37462.647168005715</v>
      </c>
      <c r="D16" s="22"/>
      <c r="E16" s="4"/>
      <c r="F16" s="4"/>
      <c r="G16" s="4"/>
      <c r="N16" s="2"/>
      <c r="O16" s="2"/>
      <c r="P16" s="2"/>
      <c r="Q16" s="2"/>
      <c r="V16" s="5"/>
    </row>
    <row r="17" spans="1:20" ht="29.25" customHeight="1" x14ac:dyDescent="0.2">
      <c r="A17" s="4" t="s">
        <v>57</v>
      </c>
      <c r="B17" s="22">
        <f>B16*0.207</f>
        <v>-83351.167963777174</v>
      </c>
      <c r="C17" s="22">
        <f>C16*0.207</f>
        <v>-7754.7679637771826</v>
      </c>
      <c r="D17" s="23">
        <f>B17+(2*F12)</f>
        <v>124094.59403622281</v>
      </c>
      <c r="E17" s="4"/>
      <c r="F17" s="4"/>
      <c r="G17" s="4"/>
      <c r="T17" s="2"/>
    </row>
    <row r="18" spans="1:20" ht="25.5" x14ac:dyDescent="0.2">
      <c r="A18" s="4" t="s">
        <v>58</v>
      </c>
      <c r="B18" s="16">
        <f>B17/F12</f>
        <v>-0.8035948014573292</v>
      </c>
      <c r="C18" s="16">
        <f>C17/F12</f>
        <v>-7.4764293943755597E-2</v>
      </c>
      <c r="D18" s="16">
        <f>D17/F12</f>
        <v>1.1964051985426709</v>
      </c>
      <c r="E18" s="4"/>
      <c r="F18" s="4"/>
      <c r="G18" s="4"/>
      <c r="H18" s="1"/>
      <c r="M18" s="4"/>
      <c r="N18" s="1"/>
    </row>
    <row r="19" spans="1:20" x14ac:dyDescent="0.2">
      <c r="A19" s="4"/>
      <c r="B19" s="4"/>
      <c r="C19" s="4"/>
      <c r="D19" s="4"/>
      <c r="E19" s="4"/>
      <c r="F19" s="4"/>
      <c r="G19" s="4"/>
      <c r="M19" s="4"/>
      <c r="N19" s="1"/>
    </row>
    <row r="20" spans="1:20" x14ac:dyDescent="0.2">
      <c r="A20" s="4" t="s">
        <v>28</v>
      </c>
      <c r="B20" s="16"/>
      <c r="C20" s="4"/>
      <c r="D20" s="4"/>
      <c r="E20" s="4"/>
      <c r="F20" s="4"/>
      <c r="G20" s="4"/>
      <c r="H20" s="2"/>
      <c r="M20" s="4"/>
      <c r="N20" s="2"/>
    </row>
    <row r="21" spans="1:20" x14ac:dyDescent="0.2">
      <c r="A21" s="14" t="s">
        <v>29</v>
      </c>
      <c r="B21" s="4">
        <v>0</v>
      </c>
      <c r="C21" s="4">
        <v>0</v>
      </c>
      <c r="D21" s="4">
        <v>0</v>
      </c>
      <c r="E21" s="119" t="s">
        <v>127</v>
      </c>
      <c r="F21" s="119"/>
      <c r="G21" s="119"/>
      <c r="H21" s="119"/>
      <c r="I21" s="119"/>
      <c r="S21" s="2"/>
    </row>
    <row r="22" spans="1:20" x14ac:dyDescent="0.2">
      <c r="A22" s="4" t="s">
        <v>30</v>
      </c>
      <c r="B22" s="4">
        <v>0</v>
      </c>
      <c r="C22" s="4">
        <v>0</v>
      </c>
      <c r="D22" s="4">
        <v>0</v>
      </c>
      <c r="E22" s="118" t="s">
        <v>128</v>
      </c>
      <c r="F22" s="118"/>
      <c r="G22" s="118"/>
      <c r="H22" s="118"/>
      <c r="T22" s="1"/>
    </row>
    <row r="23" spans="1:20" x14ac:dyDescent="0.2">
      <c r="A23" s="4"/>
      <c r="B23" s="4"/>
      <c r="C23" s="4"/>
      <c r="D23" s="4"/>
      <c r="E23" s="4"/>
      <c r="F23" s="4"/>
      <c r="G23" s="4"/>
      <c r="T23" s="1"/>
    </row>
    <row r="24" spans="1:20" ht="25.5" x14ac:dyDescent="0.2">
      <c r="A24" s="4" t="s">
        <v>35</v>
      </c>
      <c r="B24" s="4" t="s">
        <v>31</v>
      </c>
      <c r="C24" s="4" t="s">
        <v>33</v>
      </c>
      <c r="D24" s="4" t="s">
        <v>37</v>
      </c>
      <c r="E24" s="4"/>
      <c r="F24" s="4"/>
      <c r="G24" s="4"/>
      <c r="T24" s="1"/>
    </row>
    <row r="25" spans="1:20" x14ac:dyDescent="0.2">
      <c r="A25" s="4" t="s">
        <v>1</v>
      </c>
      <c r="B25" s="22">
        <f>B17+B21+B22</f>
        <v>-83351.167963777174</v>
      </c>
      <c r="C25" s="22">
        <f>C17+B21+B22</f>
        <v>-7754.7679637771826</v>
      </c>
      <c r="D25" s="50">
        <f>D17+B21+B22</f>
        <v>124094.59403622281</v>
      </c>
      <c r="E25" s="118" t="s">
        <v>120</v>
      </c>
      <c r="F25" s="118"/>
      <c r="G25" s="4"/>
      <c r="T25" s="1"/>
    </row>
    <row r="26" spans="1:20" x14ac:dyDescent="0.2">
      <c r="A26" s="4"/>
      <c r="B26" s="4"/>
      <c r="C26" s="4"/>
      <c r="D26" s="4"/>
      <c r="E26" s="4"/>
      <c r="F26" s="4"/>
      <c r="G26" s="4"/>
      <c r="T26" s="1"/>
    </row>
    <row r="27" spans="1:20" x14ac:dyDescent="0.2">
      <c r="A27" s="4"/>
      <c r="B27" s="4"/>
      <c r="C27" s="4"/>
      <c r="D27" s="4"/>
      <c r="E27" s="4"/>
      <c r="F27" s="4"/>
      <c r="G27" s="4"/>
      <c r="T27" s="1"/>
    </row>
    <row r="28" spans="1:20" ht="15.75" x14ac:dyDescent="0.25">
      <c r="A28" s="12" t="s">
        <v>88</v>
      </c>
      <c r="B28" s="4"/>
      <c r="C28" s="4"/>
      <c r="D28" s="4"/>
      <c r="E28" s="4"/>
      <c r="F28" s="4"/>
      <c r="G28" s="4"/>
    </row>
    <row r="29" spans="1:20" ht="15.75" x14ac:dyDescent="0.25">
      <c r="A29" s="19"/>
      <c r="B29" s="4"/>
      <c r="C29" s="4"/>
      <c r="D29" s="4"/>
      <c r="E29" s="4"/>
      <c r="F29" s="4"/>
      <c r="G29" s="4"/>
      <c r="T29" s="2"/>
    </row>
    <row r="30" spans="1:20" x14ac:dyDescent="0.2">
      <c r="A30" s="13" t="s">
        <v>17</v>
      </c>
      <c r="B30" s="4"/>
      <c r="C30" s="4"/>
      <c r="D30" s="4"/>
      <c r="E30" s="4"/>
      <c r="F30" s="4"/>
      <c r="G30" s="4"/>
    </row>
    <row r="31" spans="1:20" x14ac:dyDescent="0.2">
      <c r="A31" s="4"/>
      <c r="B31" s="4"/>
      <c r="C31" s="4"/>
      <c r="D31" s="4"/>
      <c r="E31" s="4"/>
      <c r="F31" s="4"/>
      <c r="G31" s="4"/>
    </row>
    <row r="32" spans="1:20" ht="25.5" x14ac:dyDescent="0.2">
      <c r="A32" s="24" t="s">
        <v>61</v>
      </c>
      <c r="B32" s="29" t="s">
        <v>52</v>
      </c>
      <c r="C32" s="24" t="s">
        <v>64</v>
      </c>
      <c r="D32" s="30" t="s">
        <v>20</v>
      </c>
      <c r="E32" s="30" t="s">
        <v>53</v>
      </c>
      <c r="F32" s="35" t="s">
        <v>54</v>
      </c>
      <c r="G32" s="4"/>
    </row>
    <row r="33" spans="1:14" x14ac:dyDescent="0.2">
      <c r="A33" s="4" t="s">
        <v>2</v>
      </c>
      <c r="B33" s="21">
        <v>613837.32999999996</v>
      </c>
      <c r="C33" s="21">
        <v>343</v>
      </c>
      <c r="D33" s="21">
        <f>B33/C33</f>
        <v>1789.6132069970845</v>
      </c>
      <c r="E33" s="21">
        <f>D35-D33</f>
        <v>137.39465927626861</v>
      </c>
      <c r="F33" s="21">
        <f>B33/100</f>
        <v>6138.3732999999993</v>
      </c>
      <c r="G33" s="4"/>
    </row>
    <row r="34" spans="1:14" x14ac:dyDescent="0.2">
      <c r="A34" s="4" t="s">
        <v>3</v>
      </c>
      <c r="B34" s="21">
        <v>1345929.67</v>
      </c>
      <c r="C34" s="21">
        <v>674</v>
      </c>
      <c r="D34" s="21">
        <f>B34/C34</f>
        <v>1996.9282937685459</v>
      </c>
      <c r="E34" s="21">
        <f>D35-D34</f>
        <v>-69.920427495192826</v>
      </c>
      <c r="F34" s="21">
        <f>B34/100</f>
        <v>13459.296699999999</v>
      </c>
      <c r="G34" s="4"/>
    </row>
    <row r="35" spans="1:14" x14ac:dyDescent="0.2">
      <c r="A35" s="4" t="s">
        <v>4</v>
      </c>
      <c r="B35" s="21">
        <f>SUM(B33:B34)</f>
        <v>1959767</v>
      </c>
      <c r="C35" s="21">
        <f>SUM(C33:C34)</f>
        <v>1017</v>
      </c>
      <c r="D35" s="21">
        <f>B35/C35</f>
        <v>1927.0078662733531</v>
      </c>
      <c r="E35" s="21"/>
      <c r="F35" s="21">
        <f>B35/100</f>
        <v>19597.669999999998</v>
      </c>
      <c r="G35" s="4"/>
    </row>
    <row r="36" spans="1:14" x14ac:dyDescent="0.2">
      <c r="A36" s="4"/>
      <c r="B36" s="4"/>
      <c r="C36" s="4"/>
      <c r="D36" s="4"/>
      <c r="E36" s="4"/>
      <c r="F36" s="4"/>
      <c r="G36" s="4"/>
      <c r="L36" s="4"/>
      <c r="N36" s="4"/>
    </row>
    <row r="37" spans="1:14" x14ac:dyDescent="0.2">
      <c r="A37" s="34" t="s">
        <v>56</v>
      </c>
      <c r="B37" s="4" t="s">
        <v>21</v>
      </c>
      <c r="C37" s="4" t="s">
        <v>23</v>
      </c>
      <c r="D37" s="16" t="s">
        <v>36</v>
      </c>
      <c r="E37" s="4"/>
      <c r="F37" s="4"/>
      <c r="G37" s="4"/>
    </row>
    <row r="38" spans="1:14" x14ac:dyDescent="0.2">
      <c r="A38" s="4" t="s">
        <v>3</v>
      </c>
      <c r="B38" s="21">
        <f>E34*C34</f>
        <v>-47126.368131759962</v>
      </c>
      <c r="C38" s="21">
        <f>(E34+100)*C34</f>
        <v>20273.631868240034</v>
      </c>
      <c r="D38" s="21"/>
      <c r="E38" s="16"/>
      <c r="F38" s="4"/>
      <c r="G38" s="4"/>
      <c r="N38" s="2"/>
    </row>
    <row r="39" spans="1:14" ht="27" customHeight="1" x14ac:dyDescent="0.2">
      <c r="A39" s="31" t="s">
        <v>59</v>
      </c>
      <c r="B39" s="22">
        <f>B38*0.6</f>
        <v>-28275.820879055977</v>
      </c>
      <c r="C39" s="21">
        <f>C38*0.6</f>
        <v>12164.17912094402</v>
      </c>
      <c r="D39" s="21">
        <f>B39+(2*F34)</f>
        <v>-1357.2274790559786</v>
      </c>
      <c r="E39" s="16"/>
      <c r="F39" s="4"/>
      <c r="G39" s="4"/>
      <c r="N39" s="2"/>
    </row>
    <row r="40" spans="1:14" ht="25.5" x14ac:dyDescent="0.2">
      <c r="A40" s="28" t="s">
        <v>60</v>
      </c>
      <c r="B40" s="16">
        <f>B39/F34</f>
        <v>-2.1008394056025215</v>
      </c>
      <c r="C40" s="16">
        <f>C39/F34</f>
        <v>0.90377524116427421</v>
      </c>
      <c r="D40" s="16">
        <f>D39/F34</f>
        <v>-0.10083940560252147</v>
      </c>
      <c r="E40" s="15"/>
      <c r="F40" s="4"/>
      <c r="G40" s="4"/>
    </row>
    <row r="41" spans="1:14" x14ac:dyDescent="0.2">
      <c r="B41" s="16"/>
      <c r="C41" s="16"/>
      <c r="D41" s="16"/>
      <c r="E41" s="15"/>
      <c r="F41" s="4"/>
      <c r="G41" s="4"/>
    </row>
    <row r="42" spans="1:14" ht="36.75" customHeight="1" x14ac:dyDescent="0.2">
      <c r="A42" s="4" t="s">
        <v>38</v>
      </c>
      <c r="B42" s="21">
        <f>'Auswirkungen auf FA'!D80</f>
        <v>-2088.6690860000672</v>
      </c>
      <c r="C42" s="21">
        <f>B42</f>
        <v>-2088.6690860000672</v>
      </c>
      <c r="D42" s="21">
        <f>B42</f>
        <v>-2088.6690860000672</v>
      </c>
      <c r="E42" s="118" t="s">
        <v>128</v>
      </c>
      <c r="F42" s="118"/>
      <c r="G42" s="118"/>
      <c r="H42" s="118"/>
    </row>
    <row r="43" spans="1:14" x14ac:dyDescent="0.2">
      <c r="A43" s="4"/>
      <c r="B43" s="4"/>
      <c r="C43" s="4"/>
      <c r="D43" s="4"/>
      <c r="E43" s="4"/>
      <c r="F43" s="4"/>
      <c r="G43" s="4"/>
    </row>
    <row r="44" spans="1:14" x14ac:dyDescent="0.2">
      <c r="A44" s="4" t="s">
        <v>11</v>
      </c>
      <c r="B44" s="20">
        <v>0</v>
      </c>
      <c r="C44" s="20">
        <v>0</v>
      </c>
      <c r="D44" s="20">
        <v>0</v>
      </c>
      <c r="E44" s="4"/>
      <c r="F44" s="4"/>
      <c r="G44" s="4"/>
    </row>
    <row r="45" spans="1:14" x14ac:dyDescent="0.2">
      <c r="F45" s="4"/>
      <c r="G45" s="4"/>
    </row>
    <row r="46" spans="1:14" x14ac:dyDescent="0.2">
      <c r="A46" s="4" t="s">
        <v>35</v>
      </c>
      <c r="B46" s="4" t="s">
        <v>31</v>
      </c>
      <c r="C46" s="4" t="s">
        <v>33</v>
      </c>
      <c r="D46" s="4" t="s">
        <v>37</v>
      </c>
      <c r="F46" s="4"/>
      <c r="G46" s="4"/>
    </row>
    <row r="47" spans="1:14" x14ac:dyDescent="0.2">
      <c r="A47" s="4" t="s">
        <v>3</v>
      </c>
      <c r="B47" s="22">
        <f>B39+B42</f>
        <v>-30364.489965056044</v>
      </c>
      <c r="C47" s="22">
        <f>C39+C42</f>
        <v>10075.510034943953</v>
      </c>
      <c r="D47" s="49">
        <f>D39+D42</f>
        <v>-3445.8965650560458</v>
      </c>
      <c r="E47" s="4" t="s">
        <v>121</v>
      </c>
      <c r="F47" s="4"/>
      <c r="G47" s="4"/>
    </row>
    <row r="48" spans="1:14" x14ac:dyDescent="0.2">
      <c r="A48" s="4"/>
      <c r="B48" s="2"/>
      <c r="C48" s="2"/>
      <c r="D48" s="2"/>
      <c r="E48" s="4"/>
      <c r="F48" s="4"/>
      <c r="G48" s="4"/>
    </row>
    <row r="49" spans="1:10" x14ac:dyDescent="0.2">
      <c r="A49" s="4"/>
      <c r="B49" s="15"/>
      <c r="C49" s="4"/>
      <c r="D49" s="4"/>
      <c r="E49" s="4"/>
      <c r="F49" s="4"/>
      <c r="G49" s="4"/>
    </row>
    <row r="50" spans="1:10" ht="15.75" x14ac:dyDescent="0.25">
      <c r="A50" s="12" t="s">
        <v>89</v>
      </c>
      <c r="B50" s="15"/>
      <c r="C50" s="4"/>
      <c r="D50" s="4"/>
      <c r="E50" s="4"/>
      <c r="F50" s="4"/>
      <c r="G50" s="4"/>
    </row>
    <row r="51" spans="1:10" ht="15.75" x14ac:dyDescent="0.25">
      <c r="A51" s="12"/>
      <c r="B51" s="15"/>
      <c r="C51" s="4"/>
      <c r="D51" s="4"/>
      <c r="E51" s="4"/>
      <c r="F51" s="4"/>
      <c r="G51" s="4"/>
    </row>
    <row r="52" spans="1:10" x14ac:dyDescent="0.2">
      <c r="A52" s="13" t="s">
        <v>17</v>
      </c>
      <c r="B52" s="15"/>
      <c r="C52" s="4"/>
      <c r="D52" s="4"/>
      <c r="E52" s="4"/>
      <c r="F52" s="4"/>
      <c r="G52" s="4"/>
    </row>
    <row r="53" spans="1:10" x14ac:dyDescent="0.2">
      <c r="A53" s="13"/>
      <c r="B53" s="4"/>
      <c r="C53" s="4"/>
      <c r="D53" s="4"/>
      <c r="E53" s="4"/>
      <c r="F53" s="4"/>
      <c r="G53" s="4"/>
    </row>
    <row r="54" spans="1:10" ht="25.5" x14ac:dyDescent="0.2">
      <c r="A54" s="36" t="s">
        <v>61</v>
      </c>
      <c r="B54" s="37" t="s">
        <v>52</v>
      </c>
      <c r="C54" s="38" t="s">
        <v>64</v>
      </c>
      <c r="D54" s="38" t="s">
        <v>20</v>
      </c>
      <c r="E54" s="38" t="s">
        <v>53</v>
      </c>
      <c r="F54" s="39" t="s">
        <v>54</v>
      </c>
      <c r="G54" s="4"/>
      <c r="J54" s="2"/>
    </row>
    <row r="55" spans="1:10" x14ac:dyDescent="0.2">
      <c r="A55" s="4" t="s">
        <v>46</v>
      </c>
      <c r="B55" s="22">
        <v>1067679.1100000001</v>
      </c>
      <c r="C55" s="21">
        <v>522</v>
      </c>
      <c r="D55" s="21">
        <f>B55/C55</f>
        <v>2045.3622796934867</v>
      </c>
      <c r="E55" s="21">
        <f>D57-D55</f>
        <v>302.3859247626076</v>
      </c>
      <c r="F55" s="21">
        <f>B55/100</f>
        <v>10676.7911</v>
      </c>
      <c r="G55" s="4"/>
      <c r="J55" s="2"/>
    </row>
    <row r="56" spans="1:10" x14ac:dyDescent="0.2">
      <c r="A56" s="4" t="s">
        <v>0</v>
      </c>
      <c r="B56" s="22">
        <v>2514984.65</v>
      </c>
      <c r="C56" s="21">
        <v>1004</v>
      </c>
      <c r="D56" s="21">
        <f>B56/C56</f>
        <v>2504.9647908366533</v>
      </c>
      <c r="E56" s="21">
        <f>D57-D56</f>
        <v>-157.21658638055897</v>
      </c>
      <c r="F56" s="21">
        <f>B56/100</f>
        <v>25149.8465</v>
      </c>
      <c r="G56" s="4"/>
    </row>
    <row r="57" spans="1:10" x14ac:dyDescent="0.2">
      <c r="A57" s="4" t="s">
        <v>4</v>
      </c>
      <c r="B57" s="21">
        <f>SUM(B55:B56)</f>
        <v>3582663.76</v>
      </c>
      <c r="C57" s="21">
        <f>SUM(C55:C56)</f>
        <v>1526</v>
      </c>
      <c r="D57" s="21">
        <f>B57/C57</f>
        <v>2347.7482044560943</v>
      </c>
      <c r="E57" s="21"/>
      <c r="F57" s="21">
        <f>B57/100</f>
        <v>35826.637599999995</v>
      </c>
      <c r="G57" s="4"/>
    </row>
    <row r="58" spans="1:10" x14ac:dyDescent="0.2">
      <c r="A58" s="4"/>
      <c r="B58" s="4"/>
      <c r="C58" s="4"/>
      <c r="D58" s="4"/>
      <c r="E58" s="4"/>
      <c r="F58" s="4"/>
      <c r="G58" s="4"/>
    </row>
    <row r="59" spans="1:10" ht="25.5" x14ac:dyDescent="0.2">
      <c r="A59" s="33" t="s">
        <v>56</v>
      </c>
      <c r="B59" s="4" t="s">
        <v>21</v>
      </c>
      <c r="C59" s="4" t="s">
        <v>23</v>
      </c>
      <c r="D59" s="16" t="s">
        <v>36</v>
      </c>
      <c r="E59" s="4"/>
      <c r="F59" s="4"/>
      <c r="G59" s="4"/>
      <c r="J59" s="7"/>
    </row>
    <row r="60" spans="1:10" x14ac:dyDescent="0.2">
      <c r="A60" s="4" t="s">
        <v>0</v>
      </c>
      <c r="B60" s="21">
        <f>E56*C56</f>
        <v>-157845.45272608119</v>
      </c>
      <c r="C60" s="21">
        <f>(E56+100)*C56</f>
        <v>-57445.452726081203</v>
      </c>
      <c r="D60" s="21"/>
      <c r="E60" s="16"/>
      <c r="F60" s="4"/>
      <c r="G60" s="4"/>
      <c r="J60" s="7"/>
    </row>
    <row r="61" spans="1:10" ht="26.25" customHeight="1" x14ac:dyDescent="0.2">
      <c r="A61" s="28" t="s">
        <v>62</v>
      </c>
      <c r="B61" s="22">
        <f>B60*0.707</f>
        <v>-111596.7350773394</v>
      </c>
      <c r="C61" s="21">
        <f>C60*0.707</f>
        <v>-40613.935077339411</v>
      </c>
      <c r="D61" s="21">
        <f>B61+(2*F56)</f>
        <v>-61297.0420773394</v>
      </c>
      <c r="E61" s="16"/>
      <c r="F61" s="4"/>
      <c r="G61" s="4"/>
    </row>
    <row r="62" spans="1:10" ht="25.5" x14ac:dyDescent="0.2">
      <c r="A62" s="27" t="s">
        <v>63</v>
      </c>
      <c r="B62" s="16">
        <f>B61/F56</f>
        <v>-4.4372730098905135</v>
      </c>
      <c r="C62" s="15">
        <f>C61/F56</f>
        <v>-1.6148780501439406</v>
      </c>
      <c r="D62" s="16">
        <f>D61/F56</f>
        <v>-2.4372730098905135</v>
      </c>
      <c r="E62" s="15"/>
      <c r="F62" s="4"/>
      <c r="G62" s="4"/>
      <c r="J62" s="7"/>
    </row>
    <row r="63" spans="1:10" x14ac:dyDescent="0.2">
      <c r="B63" s="16"/>
      <c r="C63" s="16"/>
      <c r="D63" s="16"/>
      <c r="E63" s="15"/>
      <c r="F63" s="4"/>
      <c r="G63" s="4"/>
    </row>
    <row r="64" spans="1:10" x14ac:dyDescent="0.2">
      <c r="A64" s="4"/>
      <c r="B64" s="15"/>
      <c r="C64" s="15"/>
      <c r="D64" s="15"/>
      <c r="E64" s="15"/>
      <c r="F64" s="4"/>
      <c r="G64" s="4"/>
    </row>
    <row r="65" spans="1:8" ht="25.5" customHeight="1" x14ac:dyDescent="0.2">
      <c r="A65" s="4" t="s">
        <v>38</v>
      </c>
      <c r="B65" s="48">
        <f>'Auswirkungen auf FA'!D122</f>
        <v>6571.6062759999768</v>
      </c>
      <c r="C65" s="48">
        <f>B65</f>
        <v>6571.6062759999768</v>
      </c>
      <c r="D65" s="48">
        <f>B65</f>
        <v>6571.6062759999768</v>
      </c>
      <c r="E65" s="118" t="s">
        <v>128</v>
      </c>
      <c r="F65" s="118"/>
      <c r="G65" s="118"/>
      <c r="H65" s="118"/>
    </row>
    <row r="66" spans="1:8" x14ac:dyDescent="0.2">
      <c r="A66" t="s">
        <v>48</v>
      </c>
      <c r="B66">
        <v>0</v>
      </c>
      <c r="C66">
        <v>0</v>
      </c>
      <c r="D66">
        <v>0</v>
      </c>
      <c r="F66" s="4"/>
      <c r="G66" s="4"/>
    </row>
    <row r="67" spans="1:8" ht="25.5" customHeight="1" x14ac:dyDescent="0.2">
      <c r="A67" s="4" t="s">
        <v>35</v>
      </c>
      <c r="B67" s="4" t="s">
        <v>49</v>
      </c>
      <c r="C67" s="4" t="s">
        <v>33</v>
      </c>
      <c r="D67" s="4" t="s">
        <v>37</v>
      </c>
      <c r="F67" s="4"/>
      <c r="G67" s="4"/>
    </row>
    <row r="68" spans="1:8" x14ac:dyDescent="0.2">
      <c r="A68" s="4" t="s">
        <v>43</v>
      </c>
      <c r="B68" s="22">
        <f>B61+B65+B66</f>
        <v>-105025.12880133942</v>
      </c>
      <c r="C68" s="22">
        <f>C61+C65</f>
        <v>-34042.328801339434</v>
      </c>
      <c r="D68" s="49">
        <f>D61+D65</f>
        <v>-54725.435801339423</v>
      </c>
      <c r="E68" s="4" t="s">
        <v>121</v>
      </c>
      <c r="F68" s="4"/>
      <c r="G68" s="4"/>
    </row>
    <row r="69" spans="1:8" ht="25.5" customHeight="1" x14ac:dyDescent="0.2">
      <c r="E69" s="4"/>
      <c r="F69" s="4"/>
      <c r="G69" s="4"/>
      <c r="H69" s="2"/>
    </row>
    <row r="70" spans="1:8" ht="15.75" x14ac:dyDescent="0.25">
      <c r="A70" s="12" t="s">
        <v>97</v>
      </c>
      <c r="B70" s="15"/>
      <c r="C70" s="4"/>
      <c r="D70" s="4"/>
      <c r="E70" s="4"/>
      <c r="F70" s="4"/>
      <c r="G70" s="4"/>
    </row>
    <row r="71" spans="1:8" ht="15.75" x14ac:dyDescent="0.25">
      <c r="A71" s="12"/>
      <c r="B71" s="15"/>
      <c r="C71" s="4"/>
      <c r="D71" s="4"/>
      <c r="E71" s="4"/>
      <c r="F71" s="4"/>
      <c r="G71" s="4"/>
    </row>
    <row r="72" spans="1:8" x14ac:dyDescent="0.2">
      <c r="A72" s="13" t="s">
        <v>17</v>
      </c>
      <c r="B72" s="15"/>
      <c r="C72" s="4"/>
      <c r="D72" s="4"/>
      <c r="E72" s="4"/>
      <c r="F72" s="4"/>
      <c r="G72" s="4"/>
    </row>
    <row r="73" spans="1:8" x14ac:dyDescent="0.2">
      <c r="A73" s="13"/>
      <c r="B73" s="4"/>
      <c r="C73" s="4"/>
      <c r="D73" s="4"/>
      <c r="E73" s="4"/>
      <c r="F73" s="4"/>
      <c r="G73" s="4"/>
    </row>
    <row r="74" spans="1:8" ht="25.5" x14ac:dyDescent="0.2">
      <c r="A74" s="40" t="s">
        <v>61</v>
      </c>
      <c r="B74" s="41" t="s">
        <v>52</v>
      </c>
      <c r="C74" s="38" t="s">
        <v>64</v>
      </c>
      <c r="D74" s="42" t="s">
        <v>20</v>
      </c>
      <c r="E74" s="42" t="s">
        <v>53</v>
      </c>
      <c r="F74" s="43" t="s">
        <v>54</v>
      </c>
      <c r="G74" s="4"/>
    </row>
    <row r="75" spans="1:8" x14ac:dyDescent="0.2">
      <c r="A75" s="4" t="s">
        <v>46</v>
      </c>
      <c r="B75" s="21">
        <v>1067679.1100000001</v>
      </c>
      <c r="C75" s="21">
        <v>522</v>
      </c>
      <c r="D75" s="21">
        <f>B75/C75</f>
        <v>2045.3622796934867</v>
      </c>
      <c r="E75" s="21">
        <f>D77-D75</f>
        <v>967.48385415966482</v>
      </c>
      <c r="F75" s="21">
        <f>B75/100</f>
        <v>10676.7911</v>
      </c>
      <c r="G75" s="4"/>
    </row>
    <row r="76" spans="1:8" x14ac:dyDescent="0.2">
      <c r="A76" s="4" t="s">
        <v>47</v>
      </c>
      <c r="B76" s="22">
        <v>3569091.09</v>
      </c>
      <c r="C76" s="21">
        <v>1017</v>
      </c>
      <c r="D76" s="21">
        <f>B76/C76</f>
        <v>3509.4307669616519</v>
      </c>
      <c r="E76" s="21">
        <f>D77-D76</f>
        <v>-496.58463310850038</v>
      </c>
      <c r="F76" s="21">
        <f>B76/100</f>
        <v>35690.910899999995</v>
      </c>
      <c r="G76" s="4"/>
    </row>
    <row r="77" spans="1:8" x14ac:dyDescent="0.2">
      <c r="A77" s="4" t="s">
        <v>4</v>
      </c>
      <c r="B77" s="21">
        <f>SUM(B75:B76)</f>
        <v>4636770.2</v>
      </c>
      <c r="C77" s="21">
        <f>SUM(C75:C76)</f>
        <v>1539</v>
      </c>
      <c r="D77" s="21">
        <f>B77/C77</f>
        <v>3012.8461338531515</v>
      </c>
      <c r="E77" s="21"/>
      <c r="F77" s="21">
        <f>B77/100</f>
        <v>46367.702000000005</v>
      </c>
      <c r="G77" s="4"/>
    </row>
    <row r="78" spans="1:8" x14ac:dyDescent="0.2">
      <c r="A78" s="4"/>
      <c r="B78" s="4"/>
      <c r="C78" s="4"/>
      <c r="D78" s="4"/>
      <c r="E78" s="4"/>
      <c r="F78" s="4"/>
      <c r="G78" s="4"/>
    </row>
    <row r="79" spans="1:8" x14ac:dyDescent="0.2">
      <c r="A79" s="4"/>
      <c r="B79" s="4"/>
      <c r="C79" s="4"/>
      <c r="D79" s="4"/>
      <c r="E79" s="4"/>
      <c r="F79" s="4"/>
      <c r="G79" s="4"/>
    </row>
    <row r="80" spans="1:8" x14ac:dyDescent="0.2">
      <c r="A80" s="4"/>
      <c r="B80" s="4"/>
      <c r="C80" s="4"/>
      <c r="D80" s="4"/>
      <c r="E80" s="4"/>
      <c r="F80" s="4"/>
      <c r="G80" s="4"/>
    </row>
    <row r="81" spans="1:8" x14ac:dyDescent="0.2">
      <c r="A81" s="4"/>
      <c r="B81" s="4"/>
      <c r="C81" s="4"/>
      <c r="D81" s="4"/>
      <c r="E81" s="4"/>
      <c r="F81" s="4"/>
      <c r="G81" s="4"/>
    </row>
    <row r="82" spans="1:8" x14ac:dyDescent="0.2">
      <c r="A82" s="4"/>
      <c r="B82" s="4"/>
      <c r="C82" s="4"/>
      <c r="D82" s="4"/>
      <c r="E82" s="4"/>
      <c r="F82" s="4"/>
      <c r="G82" s="4"/>
    </row>
    <row r="83" spans="1:8" ht="6.75" customHeight="1" x14ac:dyDescent="0.2">
      <c r="A83" s="4"/>
      <c r="B83" s="4"/>
      <c r="C83" s="4"/>
      <c r="D83" s="4"/>
      <c r="E83" s="4"/>
      <c r="F83" s="4"/>
      <c r="G83" s="4"/>
    </row>
    <row r="84" spans="1:8" ht="25.5" x14ac:dyDescent="0.2">
      <c r="A84" s="33" t="s">
        <v>56</v>
      </c>
      <c r="B84" s="4" t="s">
        <v>21</v>
      </c>
      <c r="C84" s="4" t="s">
        <v>23</v>
      </c>
      <c r="D84" s="16" t="s">
        <v>36</v>
      </c>
      <c r="E84" s="4"/>
      <c r="F84" s="4"/>
      <c r="G84" s="4"/>
    </row>
    <row r="85" spans="1:8" x14ac:dyDescent="0.2">
      <c r="A85" s="4" t="s">
        <v>47</v>
      </c>
      <c r="B85" s="21">
        <f>E76*C76</f>
        <v>-505026.57187134487</v>
      </c>
      <c r="C85" s="21">
        <f>(E76+100)*C76</f>
        <v>-403326.57187134487</v>
      </c>
      <c r="D85" s="21"/>
      <c r="E85" s="16"/>
      <c r="F85" s="4"/>
      <c r="G85" s="4"/>
    </row>
    <row r="86" spans="1:8" ht="25.5" x14ac:dyDescent="0.2">
      <c r="A86" s="28" t="s">
        <v>65</v>
      </c>
      <c r="B86" s="22">
        <f>B85*0.543</f>
        <v>-274229.42852614028</v>
      </c>
      <c r="C86" s="21">
        <f>C85*0.543</f>
        <v>-219006.32852614028</v>
      </c>
      <c r="D86" s="21">
        <f>B86+(2*F76)</f>
        <v>-202847.60672614031</v>
      </c>
      <c r="E86" s="16"/>
      <c r="F86" s="4"/>
      <c r="G86" s="4"/>
    </row>
    <row r="87" spans="1:8" ht="25.5" x14ac:dyDescent="0.2">
      <c r="A87" s="27" t="s">
        <v>66</v>
      </c>
      <c r="B87" s="16">
        <f>B86/F76</f>
        <v>-7.6834527786215823</v>
      </c>
      <c r="C87" s="15">
        <f>C86/F76</f>
        <v>-6.1361933053420694</v>
      </c>
      <c r="D87" s="16">
        <f>D86/F76</f>
        <v>-5.6834527786215832</v>
      </c>
      <c r="E87" s="15"/>
      <c r="F87" s="4"/>
      <c r="G87" s="4"/>
    </row>
    <row r="88" spans="1:8" x14ac:dyDescent="0.2">
      <c r="B88" s="16"/>
      <c r="C88" s="16"/>
      <c r="D88" s="16"/>
      <c r="E88" s="15"/>
      <c r="F88" s="4"/>
      <c r="G88" s="4"/>
    </row>
    <row r="89" spans="1:8" x14ac:dyDescent="0.2">
      <c r="A89" s="4"/>
      <c r="B89" s="15"/>
      <c r="C89" s="15"/>
      <c r="D89" s="15"/>
      <c r="E89" s="15"/>
      <c r="F89" s="4"/>
      <c r="G89" s="4"/>
    </row>
    <row r="90" spans="1:8" ht="25.5" customHeight="1" x14ac:dyDescent="0.2">
      <c r="A90" s="4" t="s">
        <v>38</v>
      </c>
      <c r="B90" s="48">
        <f>'Auswirkungen auf FA'!D168</f>
        <v>-239993.19001599998</v>
      </c>
      <c r="C90" s="48">
        <f>B90</f>
        <v>-239993.19001599998</v>
      </c>
      <c r="D90" s="48">
        <f>B90</f>
        <v>-239993.19001599998</v>
      </c>
      <c r="E90" s="118" t="s">
        <v>125</v>
      </c>
      <c r="F90" s="118"/>
      <c r="G90" s="118"/>
      <c r="H90" s="118"/>
    </row>
    <row r="91" spans="1:8" x14ac:dyDescent="0.2">
      <c r="A91" t="s">
        <v>48</v>
      </c>
      <c r="B91">
        <v>0</v>
      </c>
      <c r="C91">
        <v>0</v>
      </c>
      <c r="D91">
        <v>0</v>
      </c>
      <c r="F91" s="4"/>
      <c r="G91" s="4"/>
    </row>
    <row r="92" spans="1:8" x14ac:dyDescent="0.2">
      <c r="A92" s="4" t="s">
        <v>35</v>
      </c>
      <c r="B92" s="4" t="s">
        <v>49</v>
      </c>
      <c r="C92" s="4" t="s">
        <v>33</v>
      </c>
      <c r="D92" s="4" t="s">
        <v>37</v>
      </c>
      <c r="F92" s="4"/>
      <c r="G92" s="4"/>
    </row>
    <row r="93" spans="1:8" x14ac:dyDescent="0.2">
      <c r="A93" s="4" t="s">
        <v>43</v>
      </c>
      <c r="B93" s="22">
        <f>B86+B90</f>
        <v>-514222.61854214023</v>
      </c>
      <c r="C93" s="22">
        <f>C86+C90</f>
        <v>-458999.51854214026</v>
      </c>
      <c r="D93" s="49">
        <f>D86+D90</f>
        <v>-442840.79674214032</v>
      </c>
      <c r="E93" s="4" t="s">
        <v>121</v>
      </c>
      <c r="F93" s="4"/>
      <c r="G93" s="4"/>
    </row>
    <row r="94" spans="1:8" x14ac:dyDescent="0.2">
      <c r="E94" s="4"/>
      <c r="F94" s="4"/>
      <c r="G94" s="4"/>
    </row>
    <row r="96" spans="1:8" ht="15.75" x14ac:dyDescent="0.25">
      <c r="A96" s="12" t="s">
        <v>91</v>
      </c>
      <c r="B96" s="15"/>
      <c r="C96" s="4"/>
      <c r="D96" s="4"/>
      <c r="E96" s="4"/>
      <c r="F96" s="4"/>
    </row>
    <row r="97" spans="1:8" ht="15.75" x14ac:dyDescent="0.25">
      <c r="A97" s="12"/>
      <c r="B97" s="15"/>
      <c r="C97" s="4"/>
      <c r="D97" s="4"/>
      <c r="E97" s="4"/>
      <c r="F97" s="4"/>
    </row>
    <row r="98" spans="1:8" x14ac:dyDescent="0.2">
      <c r="A98" s="13" t="s">
        <v>17</v>
      </c>
      <c r="B98" s="15"/>
      <c r="C98" s="4"/>
      <c r="D98" s="4"/>
      <c r="E98" s="4"/>
      <c r="F98" s="4"/>
    </row>
    <row r="99" spans="1:8" x14ac:dyDescent="0.2">
      <c r="A99" s="13"/>
      <c r="B99" s="4"/>
      <c r="C99" s="4"/>
      <c r="D99" s="4"/>
      <c r="E99" s="4"/>
      <c r="F99" s="4"/>
    </row>
    <row r="100" spans="1:8" ht="25.5" x14ac:dyDescent="0.2">
      <c r="A100" s="40" t="s">
        <v>61</v>
      </c>
      <c r="B100" s="41" t="s">
        <v>52</v>
      </c>
      <c r="C100" s="38" t="s">
        <v>64</v>
      </c>
      <c r="D100" s="42" t="s">
        <v>20</v>
      </c>
      <c r="E100" s="42" t="s">
        <v>53</v>
      </c>
      <c r="F100" s="43" t="s">
        <v>54</v>
      </c>
    </row>
    <row r="101" spans="1:8" x14ac:dyDescent="0.2">
      <c r="A101" s="4" t="s">
        <v>46</v>
      </c>
      <c r="B101" s="22">
        <v>1067679.1100000001</v>
      </c>
      <c r="C101" s="21">
        <v>522</v>
      </c>
      <c r="D101" s="21">
        <f>B101/C101</f>
        <v>2045.3622796934867</v>
      </c>
      <c r="E101" s="21">
        <f>D104-D101</f>
        <v>590.79621622193849</v>
      </c>
      <c r="F101" s="21">
        <f>B101/100</f>
        <v>10676.7911</v>
      </c>
    </row>
    <row r="102" spans="1:8" x14ac:dyDescent="0.2">
      <c r="A102" s="4" t="s">
        <v>47</v>
      </c>
      <c r="B102" s="22">
        <v>3569091.09</v>
      </c>
      <c r="C102" s="21">
        <v>1017</v>
      </c>
      <c r="D102" s="21">
        <f>B102/C102</f>
        <v>3509.4307669616519</v>
      </c>
      <c r="E102" s="21">
        <f>D104-D102</f>
        <v>-873.27227104622671</v>
      </c>
      <c r="F102" s="21">
        <f>B102/100</f>
        <v>35690.910899999995</v>
      </c>
    </row>
    <row r="103" spans="1:8" x14ac:dyDescent="0.2">
      <c r="A103" s="4" t="s">
        <v>50</v>
      </c>
      <c r="B103" s="22">
        <v>849075.63</v>
      </c>
      <c r="C103" s="21">
        <v>542</v>
      </c>
      <c r="D103" s="21">
        <f>B103/C103</f>
        <v>1566.5602029520296</v>
      </c>
      <c r="E103" s="21">
        <f>D104-D103</f>
        <v>1069.5982929633956</v>
      </c>
      <c r="F103" s="21">
        <f>B103/100</f>
        <v>8490.7563000000009</v>
      </c>
    </row>
    <row r="104" spans="1:8" x14ac:dyDescent="0.2">
      <c r="A104" s="4" t="s">
        <v>4</v>
      </c>
      <c r="B104" s="21">
        <f>SUM(B101:B103)</f>
        <v>5485845.8300000001</v>
      </c>
      <c r="C104" s="21">
        <f>SUM(C101:C103)</f>
        <v>2081</v>
      </c>
      <c r="D104" s="21">
        <f>B104/C104</f>
        <v>2636.1584959154252</v>
      </c>
      <c r="E104" s="21"/>
      <c r="F104" s="21">
        <f>B104/100</f>
        <v>54858.458299999998</v>
      </c>
    </row>
    <row r="105" spans="1:8" x14ac:dyDescent="0.2">
      <c r="A105" s="4"/>
      <c r="B105" s="4"/>
      <c r="C105" s="4"/>
      <c r="D105" s="4"/>
      <c r="E105" s="4"/>
      <c r="F105" s="4"/>
    </row>
    <row r="106" spans="1:8" ht="25.5" x14ac:dyDescent="0.2">
      <c r="A106" s="33" t="s">
        <v>56</v>
      </c>
      <c r="B106" s="4" t="s">
        <v>21</v>
      </c>
      <c r="C106" s="4" t="s">
        <v>23</v>
      </c>
      <c r="D106" s="16" t="s">
        <v>36</v>
      </c>
      <c r="E106" s="4"/>
      <c r="F106" s="4"/>
    </row>
    <row r="107" spans="1:8" x14ac:dyDescent="0.2">
      <c r="A107" s="4" t="s">
        <v>47</v>
      </c>
      <c r="B107" s="21">
        <f>E102*C102</f>
        <v>-888117.89965401252</v>
      </c>
      <c r="C107" s="21">
        <f>(E102+100)*C102</f>
        <v>-786417.89965401252</v>
      </c>
      <c r="D107" s="21"/>
      <c r="E107" s="16"/>
      <c r="F107" s="4"/>
    </row>
    <row r="108" spans="1:8" ht="26.25" customHeight="1" x14ac:dyDescent="0.2">
      <c r="A108" s="28" t="s">
        <v>65</v>
      </c>
      <c r="B108" s="22">
        <f>B107*0.543</f>
        <v>-482248.01951212884</v>
      </c>
      <c r="C108" s="21">
        <f>C107*0.543</f>
        <v>-427024.91951212881</v>
      </c>
      <c r="D108" s="21">
        <f>B108+(2*F102)</f>
        <v>-410866.19771212887</v>
      </c>
      <c r="E108" s="16"/>
      <c r="F108" s="4"/>
    </row>
    <row r="109" spans="1:8" ht="25.5" x14ac:dyDescent="0.2">
      <c r="A109" s="27" t="s">
        <v>66</v>
      </c>
      <c r="B109" s="16">
        <f>B108/F102</f>
        <v>-13.511787941285883</v>
      </c>
      <c r="C109" s="15">
        <f>C108/F102</f>
        <v>-11.964528468006371</v>
      </c>
      <c r="D109" s="16">
        <f>D108/F102</f>
        <v>-11.511787941285885</v>
      </c>
      <c r="E109" s="15"/>
      <c r="F109" s="4"/>
    </row>
    <row r="110" spans="1:8" x14ac:dyDescent="0.2">
      <c r="B110" s="16"/>
      <c r="C110" s="16"/>
      <c r="D110" s="16"/>
      <c r="E110" s="15"/>
      <c r="F110" s="4"/>
    </row>
    <row r="111" spans="1:8" x14ac:dyDescent="0.2">
      <c r="A111" s="4"/>
      <c r="B111" s="15"/>
      <c r="C111" s="15"/>
      <c r="D111" s="15"/>
      <c r="E111" s="15"/>
      <c r="F111" s="4"/>
    </row>
    <row r="112" spans="1:8" ht="25.5" customHeight="1" x14ac:dyDescent="0.2">
      <c r="A112" s="4" t="s">
        <v>38</v>
      </c>
      <c r="B112" s="48">
        <f>'Auswirkungen auf FA'!D214</f>
        <v>-336456.46903999988</v>
      </c>
      <c r="C112" s="48">
        <f>B112</f>
        <v>-336456.46903999988</v>
      </c>
      <c r="D112" s="48">
        <f>B112</f>
        <v>-336456.46903999988</v>
      </c>
      <c r="E112" s="118" t="s">
        <v>128</v>
      </c>
      <c r="F112" s="118"/>
      <c r="G112" s="118"/>
      <c r="H112" s="118"/>
    </row>
    <row r="113" spans="1:6" x14ac:dyDescent="0.2">
      <c r="A113" t="s">
        <v>100</v>
      </c>
      <c r="B113" s="48">
        <v>-53450</v>
      </c>
      <c r="C113" s="48">
        <v>-53450</v>
      </c>
      <c r="D113" s="48">
        <v>-53450</v>
      </c>
      <c r="F113" s="4"/>
    </row>
    <row r="114" spans="1:6" x14ac:dyDescent="0.2">
      <c r="A114" s="4" t="s">
        <v>35</v>
      </c>
      <c r="B114" s="4" t="s">
        <v>49</v>
      </c>
      <c r="C114" s="4" t="s">
        <v>33</v>
      </c>
      <c r="D114" s="4" t="s">
        <v>37</v>
      </c>
      <c r="F114" s="4"/>
    </row>
    <row r="115" spans="1:6" ht="12.75" customHeight="1" x14ac:dyDescent="0.2">
      <c r="A115" s="4" t="s">
        <v>45</v>
      </c>
      <c r="B115" s="22">
        <f>B108+B112+B113</f>
        <v>-872154.48855212866</v>
      </c>
      <c r="C115" s="22">
        <f>C108+C112+C113</f>
        <v>-816931.38855212869</v>
      </c>
      <c r="D115" s="49">
        <f>D108+D112+D113</f>
        <v>-800772.66675212875</v>
      </c>
      <c r="E115" s="4" t="s">
        <v>121</v>
      </c>
      <c r="F115" s="4"/>
    </row>
    <row r="116" spans="1:6" x14ac:dyDescent="0.2">
      <c r="E116" s="4"/>
      <c r="F116" s="4"/>
    </row>
  </sheetData>
  <mergeCells count="7">
    <mergeCell ref="E90:H90"/>
    <mergeCell ref="E112:H112"/>
    <mergeCell ref="E21:I21"/>
    <mergeCell ref="E65:H65"/>
    <mergeCell ref="E25:F25"/>
    <mergeCell ref="E42:H42"/>
    <mergeCell ref="E22:H2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horizontalDpi="1200" verticalDpi="120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9"/>
  <sheetViews>
    <sheetView topLeftCell="A49" zoomScaleNormal="100" workbookViewId="0">
      <selection activeCell="C6" sqref="C6"/>
    </sheetView>
  </sheetViews>
  <sheetFormatPr baseColWidth="10" defaultRowHeight="12.75" x14ac:dyDescent="0.2"/>
  <cols>
    <col min="1" max="1" width="24.85546875" customWidth="1"/>
    <col min="2" max="2" width="17.85546875" customWidth="1"/>
    <col min="3" max="3" width="18.42578125" customWidth="1"/>
    <col min="4" max="4" width="18.7109375" customWidth="1"/>
    <col min="5" max="5" width="17" customWidth="1"/>
    <col min="6" max="6" width="12.7109375" customWidth="1"/>
    <col min="7" max="7" width="15.7109375" bestFit="1" customWidth="1"/>
    <col min="8" max="9" width="14.7109375" customWidth="1"/>
    <col min="10" max="10" width="14" customWidth="1"/>
  </cols>
  <sheetData>
    <row r="1" spans="1:4" ht="20.25" x14ac:dyDescent="0.3">
      <c r="A1" s="115" t="s">
        <v>126</v>
      </c>
    </row>
    <row r="3" spans="1:4" ht="16.5" x14ac:dyDescent="0.25">
      <c r="A3" s="85" t="s">
        <v>87</v>
      </c>
    </row>
    <row r="4" spans="1:4" ht="8.25" customHeight="1" x14ac:dyDescent="0.2"/>
    <row r="5" spans="1:4" x14ac:dyDescent="0.2">
      <c r="A5" t="s">
        <v>106</v>
      </c>
    </row>
    <row r="6" spans="1:4" ht="9" customHeight="1" x14ac:dyDescent="0.2"/>
    <row r="7" spans="1:4" ht="15" x14ac:dyDescent="0.25">
      <c r="A7" s="55" t="s">
        <v>67</v>
      </c>
      <c r="B7" s="55">
        <v>2018</v>
      </c>
      <c r="C7" s="56" t="s">
        <v>105</v>
      </c>
      <c r="D7" s="54"/>
    </row>
    <row r="8" spans="1:4" x14ac:dyDescent="0.2">
      <c r="A8" s="57" t="s">
        <v>76</v>
      </c>
      <c r="B8" s="57">
        <v>20</v>
      </c>
      <c r="C8" s="57">
        <v>20</v>
      </c>
    </row>
    <row r="9" spans="1:4" x14ac:dyDescent="0.2">
      <c r="A9" s="57" t="s">
        <v>0</v>
      </c>
      <c r="B9" s="58">
        <v>24</v>
      </c>
      <c r="C9" s="58"/>
    </row>
    <row r="10" spans="1:4" x14ac:dyDescent="0.2">
      <c r="A10" s="57" t="s">
        <v>1</v>
      </c>
      <c r="B10" s="58">
        <v>20</v>
      </c>
      <c r="C10" s="58"/>
    </row>
    <row r="11" spans="1:4" x14ac:dyDescent="0.2">
      <c r="A11" s="59" t="s">
        <v>77</v>
      </c>
      <c r="B11" s="58"/>
      <c r="C11" s="60">
        <v>22</v>
      </c>
      <c r="D11" t="s">
        <v>119</v>
      </c>
    </row>
    <row r="12" spans="1:4" x14ac:dyDescent="0.2">
      <c r="A12" s="57" t="s">
        <v>42</v>
      </c>
      <c r="B12" s="58">
        <v>22</v>
      </c>
      <c r="C12" s="58">
        <v>22</v>
      </c>
    </row>
    <row r="13" spans="1:4" x14ac:dyDescent="0.2">
      <c r="A13" s="57" t="s">
        <v>78</v>
      </c>
      <c r="B13" s="58">
        <v>23</v>
      </c>
      <c r="C13" s="58">
        <v>23</v>
      </c>
    </row>
    <row r="14" spans="1:4" x14ac:dyDescent="0.2">
      <c r="A14" s="57" t="s">
        <v>79</v>
      </c>
      <c r="B14" s="58">
        <v>34</v>
      </c>
      <c r="C14" s="58">
        <v>34</v>
      </c>
    </row>
    <row r="15" spans="1:4" x14ac:dyDescent="0.2">
      <c r="A15" s="58" t="s">
        <v>103</v>
      </c>
      <c r="B15" s="61">
        <f>AVERAGE(B8:B14)</f>
        <v>23.833333333333332</v>
      </c>
      <c r="C15" s="61">
        <f>AVERAGE(C8:C14)</f>
        <v>24.2</v>
      </c>
    </row>
    <row r="16" spans="1:4" ht="15" x14ac:dyDescent="0.25">
      <c r="A16" s="58" t="s">
        <v>104</v>
      </c>
      <c r="B16" s="62">
        <f>ROUND(B15,0)</f>
        <v>24</v>
      </c>
      <c r="C16" s="62">
        <f>ROUND(C15,0)</f>
        <v>24</v>
      </c>
    </row>
    <row r="18" spans="1:7" x14ac:dyDescent="0.2">
      <c r="A18" s="99" t="s">
        <v>67</v>
      </c>
      <c r="B18" s="100" t="s">
        <v>68</v>
      </c>
      <c r="C18" s="100" t="s">
        <v>15</v>
      </c>
      <c r="D18" s="100" t="s">
        <v>6</v>
      </c>
      <c r="E18" s="100" t="s">
        <v>69</v>
      </c>
      <c r="F18" s="100" t="s">
        <v>70</v>
      </c>
      <c r="G18" s="101" t="s">
        <v>71</v>
      </c>
    </row>
    <row r="19" spans="1:7" x14ac:dyDescent="0.2">
      <c r="A19" s="102"/>
      <c r="B19" s="114">
        <v>2017</v>
      </c>
      <c r="C19" s="92">
        <v>43465</v>
      </c>
      <c r="D19" s="91" t="s">
        <v>72</v>
      </c>
      <c r="E19" s="91" t="s">
        <v>72</v>
      </c>
      <c r="F19" s="91" t="s">
        <v>73</v>
      </c>
      <c r="G19" s="97" t="s">
        <v>74</v>
      </c>
    </row>
    <row r="20" spans="1:7" x14ac:dyDescent="0.2">
      <c r="A20" s="112"/>
      <c r="B20" s="113"/>
      <c r="C20" s="113"/>
      <c r="D20" s="113" t="s">
        <v>67</v>
      </c>
      <c r="E20" s="113" t="s">
        <v>75</v>
      </c>
      <c r="F20" s="113"/>
      <c r="G20" s="96" t="s">
        <v>92</v>
      </c>
    </row>
    <row r="21" spans="1:7" x14ac:dyDescent="0.2">
      <c r="A21" s="88" t="s">
        <v>76</v>
      </c>
      <c r="B21" s="68">
        <v>19270396.25</v>
      </c>
      <c r="C21" s="68">
        <v>5846</v>
      </c>
      <c r="D21" s="68">
        <f>B21/C21</f>
        <v>3296.3387358877867</v>
      </c>
      <c r="E21" s="68">
        <f>D$26-D21</f>
        <v>-831.59045394685336</v>
      </c>
      <c r="F21" s="68">
        <v>0</v>
      </c>
      <c r="G21" s="68">
        <v>0</v>
      </c>
    </row>
    <row r="22" spans="1:7" x14ac:dyDescent="0.2">
      <c r="A22" s="58" t="s">
        <v>77</v>
      </c>
      <c r="B22" s="71">
        <v>15972694</v>
      </c>
      <c r="C22" s="71">
        <v>5851</v>
      </c>
      <c r="D22" s="71">
        <f t="shared" ref="D22:D25" si="0">B22/C22</f>
        <v>2729.9083917279099</v>
      </c>
      <c r="E22" s="71">
        <f t="shared" ref="E22:E25" si="1">D$26-D22</f>
        <v>-265.16010978697659</v>
      </c>
      <c r="F22" s="71">
        <v>0</v>
      </c>
      <c r="G22" s="71">
        <v>0</v>
      </c>
    </row>
    <row r="23" spans="1:7" x14ac:dyDescent="0.2">
      <c r="A23" s="58" t="s">
        <v>42</v>
      </c>
      <c r="B23" s="71">
        <v>2181425.91</v>
      </c>
      <c r="C23" s="71">
        <v>1130</v>
      </c>
      <c r="D23" s="71">
        <f t="shared" si="0"/>
        <v>1930.4654070796462</v>
      </c>
      <c r="E23" s="71">
        <f t="shared" si="1"/>
        <v>534.28287486128715</v>
      </c>
      <c r="F23" s="71">
        <f>E23*C23</f>
        <v>603739.6485932545</v>
      </c>
      <c r="G23" s="71">
        <f>F23*0.24</f>
        <v>144897.51566238108</v>
      </c>
    </row>
    <row r="24" spans="1:7" x14ac:dyDescent="0.2">
      <c r="A24" s="58" t="s">
        <v>78</v>
      </c>
      <c r="B24" s="71">
        <v>3387957.39</v>
      </c>
      <c r="C24" s="71">
        <v>1465</v>
      </c>
      <c r="D24" s="71">
        <f t="shared" si="0"/>
        <v>2312.5989010238909</v>
      </c>
      <c r="E24" s="71">
        <f t="shared" si="1"/>
        <v>152.14938091704244</v>
      </c>
      <c r="F24" s="71">
        <f t="shared" ref="F24:F25" si="2">E24*C24</f>
        <v>222898.84304346718</v>
      </c>
      <c r="G24" s="71">
        <f t="shared" ref="G24:G26" si="3">F24*0.24</f>
        <v>53495.722330432123</v>
      </c>
    </row>
    <row r="25" spans="1:7" x14ac:dyDescent="0.2">
      <c r="A25" s="58" t="s">
        <v>79</v>
      </c>
      <c r="B25" s="71">
        <v>3948614.41</v>
      </c>
      <c r="C25" s="71">
        <v>1922</v>
      </c>
      <c r="D25" s="71">
        <f t="shared" si="0"/>
        <v>2054.4299739854318</v>
      </c>
      <c r="E25" s="71">
        <f t="shared" si="1"/>
        <v>410.3183079555015</v>
      </c>
      <c r="F25" s="71">
        <f t="shared" si="2"/>
        <v>788631.78789047385</v>
      </c>
      <c r="G25" s="71">
        <f t="shared" si="3"/>
        <v>189271.62909371371</v>
      </c>
    </row>
    <row r="26" spans="1:7" x14ac:dyDescent="0.2">
      <c r="A26" s="58"/>
      <c r="B26" s="71">
        <f>SUM(B21:B25)</f>
        <v>44761087.959999993</v>
      </c>
      <c r="C26" s="71">
        <v>16180</v>
      </c>
      <c r="D26" s="93">
        <f>AVERAGE(D21:D25)</f>
        <v>2464.7482819409333</v>
      </c>
      <c r="E26" s="71"/>
      <c r="F26" s="71">
        <f>SUM(F21:F25)</f>
        <v>1615270.2795271955</v>
      </c>
      <c r="G26" s="71">
        <f t="shared" si="3"/>
        <v>387664.86708652688</v>
      </c>
    </row>
    <row r="28" spans="1:7" ht="15" customHeight="1" x14ac:dyDescent="0.2"/>
    <row r="29" spans="1:7" ht="25.5" x14ac:dyDescent="0.2">
      <c r="A29" t="s">
        <v>67</v>
      </c>
      <c r="B29" s="4" t="s">
        <v>93</v>
      </c>
      <c r="C29" s="4" t="s">
        <v>94</v>
      </c>
      <c r="D29" t="s">
        <v>5</v>
      </c>
    </row>
    <row r="30" spans="1:7" x14ac:dyDescent="0.2">
      <c r="A30" t="s">
        <v>76</v>
      </c>
      <c r="B30">
        <v>0</v>
      </c>
      <c r="C30">
        <v>0</v>
      </c>
      <c r="D30">
        <v>0</v>
      </c>
    </row>
    <row r="31" spans="1:7" x14ac:dyDescent="0.2">
      <c r="A31" s="44" t="s">
        <v>77</v>
      </c>
      <c r="B31">
        <v>0</v>
      </c>
      <c r="C31">
        <v>0</v>
      </c>
      <c r="D31">
        <v>0</v>
      </c>
    </row>
    <row r="32" spans="1:7" x14ac:dyDescent="0.2">
      <c r="A32" t="s">
        <v>42</v>
      </c>
      <c r="B32" s="22">
        <f>G23</f>
        <v>144897.51566238108</v>
      </c>
      <c r="C32" s="22">
        <v>153589.77048789925</v>
      </c>
      <c r="D32" s="22">
        <v>-10030</v>
      </c>
    </row>
    <row r="33" spans="1:10" ht="14.25" customHeight="1" x14ac:dyDescent="0.2">
      <c r="A33" t="s">
        <v>78</v>
      </c>
      <c r="B33" s="22">
        <f>G24</f>
        <v>53495.722330432123</v>
      </c>
      <c r="C33" s="22">
        <v>64764.884559975617</v>
      </c>
      <c r="D33" s="22">
        <v>-13011</v>
      </c>
    </row>
    <row r="34" spans="1:10" ht="14.25" customHeight="1" x14ac:dyDescent="0.2">
      <c r="A34" t="s">
        <v>79</v>
      </c>
      <c r="B34" s="22">
        <f>G25</f>
        <v>189271.62909371371</v>
      </c>
      <c r="C34" s="22">
        <v>204056.15455800222</v>
      </c>
      <c r="D34" s="22">
        <v>-16980</v>
      </c>
      <c r="I34" s="9"/>
      <c r="J34" s="9"/>
    </row>
    <row r="35" spans="1:10" ht="15" customHeight="1" x14ac:dyDescent="0.2">
      <c r="B35" s="22">
        <f>SUM(B30:B34)</f>
        <v>387664.86708652694</v>
      </c>
      <c r="C35" s="22">
        <v>366683</v>
      </c>
      <c r="D35" s="22">
        <v>-40020</v>
      </c>
    </row>
    <row r="36" spans="1:10" ht="15.75" customHeight="1" x14ac:dyDescent="0.2"/>
    <row r="37" spans="1:10" ht="15" customHeight="1" x14ac:dyDescent="0.2"/>
    <row r="38" spans="1:10" ht="16.5" x14ac:dyDescent="0.25">
      <c r="A38" s="85" t="s">
        <v>88</v>
      </c>
    </row>
    <row r="40" spans="1:10" x14ac:dyDescent="0.2">
      <c r="A40" t="s">
        <v>107</v>
      </c>
      <c r="B40" s="52"/>
      <c r="C40" s="52"/>
    </row>
    <row r="41" spans="1:10" ht="10.5" customHeight="1" x14ac:dyDescent="0.2">
      <c r="B41" s="53"/>
      <c r="C41" s="53"/>
    </row>
    <row r="42" spans="1:10" ht="15" x14ac:dyDescent="0.25">
      <c r="A42" s="55" t="s">
        <v>80</v>
      </c>
      <c r="B42" s="55">
        <v>2018</v>
      </c>
      <c r="C42" s="56" t="s">
        <v>105</v>
      </c>
    </row>
    <row r="43" spans="1:10" x14ac:dyDescent="0.2">
      <c r="A43" s="58" t="s">
        <v>76</v>
      </c>
      <c r="B43" s="63">
        <v>49</v>
      </c>
      <c r="C43" s="63">
        <v>49</v>
      </c>
    </row>
    <row r="44" spans="1:10" x14ac:dyDescent="0.2">
      <c r="A44" s="58" t="s">
        <v>84</v>
      </c>
      <c r="B44" s="63">
        <v>58</v>
      </c>
      <c r="C44" s="63">
        <v>58</v>
      </c>
    </row>
    <row r="45" spans="1:10" x14ac:dyDescent="0.2">
      <c r="A45" s="58" t="s">
        <v>0</v>
      </c>
      <c r="B45" s="63">
        <v>65</v>
      </c>
      <c r="C45" s="63">
        <v>65</v>
      </c>
    </row>
    <row r="46" spans="1:10" x14ac:dyDescent="0.2">
      <c r="A46" s="58" t="s">
        <v>46</v>
      </c>
      <c r="B46" s="63">
        <v>80</v>
      </c>
      <c r="C46" s="63">
        <v>80</v>
      </c>
    </row>
    <row r="47" spans="1:10" x14ac:dyDescent="0.2">
      <c r="A47" s="58" t="s">
        <v>47</v>
      </c>
      <c r="B47" s="63">
        <v>53</v>
      </c>
      <c r="C47" s="63">
        <v>53</v>
      </c>
    </row>
    <row r="48" spans="1:10" x14ac:dyDescent="0.2">
      <c r="A48" s="58" t="s">
        <v>50</v>
      </c>
      <c r="B48" s="63">
        <v>82</v>
      </c>
      <c r="C48" s="63">
        <v>82</v>
      </c>
    </row>
    <row r="49" spans="1:7" x14ac:dyDescent="0.2">
      <c r="A49" s="58" t="s">
        <v>3</v>
      </c>
      <c r="B49" s="63">
        <v>60</v>
      </c>
      <c r="C49" s="63"/>
    </row>
    <row r="50" spans="1:7" x14ac:dyDescent="0.2">
      <c r="A50" s="58" t="s">
        <v>2</v>
      </c>
      <c r="B50" s="63">
        <v>70</v>
      </c>
      <c r="C50" s="63"/>
    </row>
    <row r="51" spans="1:7" x14ac:dyDescent="0.2">
      <c r="A51" s="60" t="s">
        <v>108</v>
      </c>
      <c r="B51" s="63"/>
      <c r="C51" s="60">
        <v>62</v>
      </c>
      <c r="D51" t="s">
        <v>118</v>
      </c>
    </row>
    <row r="52" spans="1:7" x14ac:dyDescent="0.2">
      <c r="A52" s="58" t="s">
        <v>78</v>
      </c>
      <c r="B52" s="58">
        <v>55</v>
      </c>
      <c r="C52" s="58">
        <v>55</v>
      </c>
    </row>
    <row r="53" spans="1:7" x14ac:dyDescent="0.2">
      <c r="A53" s="58" t="s">
        <v>79</v>
      </c>
      <c r="B53" s="58">
        <v>65</v>
      </c>
      <c r="C53" s="58">
        <v>65</v>
      </c>
    </row>
    <row r="54" spans="1:7" x14ac:dyDescent="0.2">
      <c r="A54" s="58" t="s">
        <v>103</v>
      </c>
      <c r="B54" s="58">
        <f>AVERAGE(B43:B53)</f>
        <v>63.7</v>
      </c>
      <c r="C54" s="61">
        <f>AVERAGE(C43:C53)</f>
        <v>63.222222222222221</v>
      </c>
    </row>
    <row r="55" spans="1:7" ht="15" x14ac:dyDescent="0.25">
      <c r="A55" s="58" t="s">
        <v>104</v>
      </c>
      <c r="B55" s="62">
        <f>ROUND(B54,0)</f>
        <v>64</v>
      </c>
      <c r="C55" s="62">
        <f>ROUND(C54,0)</f>
        <v>63</v>
      </c>
    </row>
    <row r="56" spans="1:7" ht="12.75" customHeight="1" x14ac:dyDescent="0.25">
      <c r="B56" s="51"/>
      <c r="C56" s="51"/>
    </row>
    <row r="57" spans="1:7" ht="13.5" customHeight="1" x14ac:dyDescent="0.25">
      <c r="B57" s="51"/>
      <c r="C57" s="51"/>
    </row>
    <row r="58" spans="1:7" x14ac:dyDescent="0.2">
      <c r="A58" s="99" t="s">
        <v>80</v>
      </c>
      <c r="B58" s="100" t="s">
        <v>51</v>
      </c>
      <c r="C58" s="100" t="s">
        <v>15</v>
      </c>
      <c r="D58" s="100" t="s">
        <v>72</v>
      </c>
      <c r="E58" s="100" t="s">
        <v>81</v>
      </c>
      <c r="F58" s="100" t="s">
        <v>70</v>
      </c>
      <c r="G58" s="101" t="s">
        <v>74</v>
      </c>
    </row>
    <row r="59" spans="1:7" x14ac:dyDescent="0.2">
      <c r="A59" s="102"/>
      <c r="B59" s="91" t="s">
        <v>95</v>
      </c>
      <c r="C59" s="92">
        <v>43465</v>
      </c>
      <c r="D59" s="91" t="s">
        <v>82</v>
      </c>
      <c r="E59" s="91" t="s">
        <v>83</v>
      </c>
      <c r="F59" s="91" t="s">
        <v>73</v>
      </c>
      <c r="G59" s="97" t="s">
        <v>109</v>
      </c>
    </row>
    <row r="60" spans="1:7" x14ac:dyDescent="0.2">
      <c r="A60" s="112"/>
      <c r="B60" s="113"/>
      <c r="C60" s="113"/>
      <c r="D60" s="113"/>
      <c r="E60" s="98">
        <v>2774</v>
      </c>
      <c r="F60" s="113"/>
      <c r="G60" s="96" t="s">
        <v>110</v>
      </c>
    </row>
    <row r="61" spans="1:7" x14ac:dyDescent="0.2">
      <c r="A61" s="88" t="s">
        <v>76</v>
      </c>
      <c r="B61" s="68">
        <v>24571503.43</v>
      </c>
      <c r="C61" s="68">
        <v>7963</v>
      </c>
      <c r="D61" s="68">
        <f>B61/C61</f>
        <v>3085.7093344217005</v>
      </c>
      <c r="E61" s="68">
        <f>2773.7534-D61</f>
        <v>-311.95593442170048</v>
      </c>
      <c r="F61" s="68">
        <v>0</v>
      </c>
      <c r="G61" s="68">
        <f>F61/100*63</f>
        <v>0</v>
      </c>
    </row>
    <row r="62" spans="1:7" x14ac:dyDescent="0.2">
      <c r="A62" s="58" t="s">
        <v>84</v>
      </c>
      <c r="B62" s="71">
        <v>2471670.7799999998</v>
      </c>
      <c r="C62" s="71">
        <v>884</v>
      </c>
      <c r="D62" s="71">
        <f>B62/C62</f>
        <v>2796.0076696832575</v>
      </c>
      <c r="E62" s="71">
        <f t="shared" ref="E62:E69" si="4">2773.7534-D62</f>
        <v>-22.254269683257462</v>
      </c>
      <c r="F62" s="71">
        <v>0</v>
      </c>
      <c r="G62" s="71">
        <f t="shared" ref="G62:G70" si="5">F62/100*63</f>
        <v>0</v>
      </c>
    </row>
    <row r="63" spans="1:7" x14ac:dyDescent="0.2">
      <c r="A63" s="58" t="s">
        <v>0</v>
      </c>
      <c r="B63" s="71">
        <v>2514984.65</v>
      </c>
      <c r="C63" s="71">
        <v>1004</v>
      </c>
      <c r="D63" s="71">
        <f t="shared" ref="D63:D69" si="6">B63/C63</f>
        <v>2504.9647908366533</v>
      </c>
      <c r="E63" s="71">
        <f t="shared" si="4"/>
        <v>268.78860916334679</v>
      </c>
      <c r="F63" s="71">
        <f>E63*C63</f>
        <v>269863.76360000018</v>
      </c>
      <c r="G63" s="71">
        <f t="shared" si="5"/>
        <v>170014.17106800011</v>
      </c>
    </row>
    <row r="64" spans="1:7" x14ac:dyDescent="0.2">
      <c r="A64" s="58" t="s">
        <v>47</v>
      </c>
      <c r="B64" s="71">
        <v>3569091.09</v>
      </c>
      <c r="C64" s="71">
        <v>1017</v>
      </c>
      <c r="D64" s="71">
        <f t="shared" si="6"/>
        <v>3509.4307669616519</v>
      </c>
      <c r="E64" s="71">
        <f t="shared" si="4"/>
        <v>-735.67736696165184</v>
      </c>
      <c r="F64" s="71">
        <v>0</v>
      </c>
      <c r="G64" s="71">
        <f t="shared" si="5"/>
        <v>0</v>
      </c>
    </row>
    <row r="65" spans="1:7" x14ac:dyDescent="0.2">
      <c r="A65" s="58" t="s">
        <v>46</v>
      </c>
      <c r="B65" s="71">
        <v>1067679.1100000001</v>
      </c>
      <c r="C65" s="71">
        <v>522</v>
      </c>
      <c r="D65" s="71">
        <f t="shared" si="6"/>
        <v>2045.3622796934867</v>
      </c>
      <c r="E65" s="71">
        <f t="shared" si="4"/>
        <v>728.39112030651336</v>
      </c>
      <c r="F65" s="71">
        <f t="shared" ref="F65:F69" si="7">E65*C65</f>
        <v>380220.16479999997</v>
      </c>
      <c r="G65" s="71">
        <f t="shared" si="5"/>
        <v>239538.703824</v>
      </c>
    </row>
    <row r="66" spans="1:7" x14ac:dyDescent="0.2">
      <c r="A66" s="58" t="s">
        <v>50</v>
      </c>
      <c r="B66" s="71">
        <v>849075.63</v>
      </c>
      <c r="C66" s="71">
        <v>542</v>
      </c>
      <c r="D66" s="71">
        <f t="shared" si="6"/>
        <v>1566.5602029520296</v>
      </c>
      <c r="E66" s="71">
        <f t="shared" si="4"/>
        <v>1207.1931970479704</v>
      </c>
      <c r="F66" s="71">
        <f t="shared" si="7"/>
        <v>654298.71279999998</v>
      </c>
      <c r="G66" s="71">
        <f t="shared" si="5"/>
        <v>412208.18906399998</v>
      </c>
    </row>
    <row r="67" spans="1:7" x14ac:dyDescent="0.2">
      <c r="A67" s="60" t="s">
        <v>42</v>
      </c>
      <c r="B67" s="71">
        <v>1959767</v>
      </c>
      <c r="C67" s="71">
        <v>1017</v>
      </c>
      <c r="D67" s="71">
        <f t="shared" si="6"/>
        <v>1927.0078662733531</v>
      </c>
      <c r="E67" s="71">
        <f t="shared" si="4"/>
        <v>846.74553372664695</v>
      </c>
      <c r="F67" s="71">
        <f t="shared" si="7"/>
        <v>861140.20779999997</v>
      </c>
      <c r="G67" s="71">
        <f t="shared" si="5"/>
        <v>542518.33091399993</v>
      </c>
    </row>
    <row r="68" spans="1:7" x14ac:dyDescent="0.2">
      <c r="A68" s="58" t="s">
        <v>78</v>
      </c>
      <c r="B68" s="71">
        <v>3182949.45</v>
      </c>
      <c r="C68" s="71">
        <v>1343</v>
      </c>
      <c r="D68" s="71">
        <f t="shared" si="6"/>
        <v>2370.0293745346239</v>
      </c>
      <c r="E68" s="71">
        <f t="shared" si="4"/>
        <v>403.72402546537614</v>
      </c>
      <c r="F68" s="71">
        <f t="shared" si="7"/>
        <v>542201.36620000016</v>
      </c>
      <c r="G68" s="71">
        <f t="shared" si="5"/>
        <v>341586.86070600006</v>
      </c>
    </row>
    <row r="69" spans="1:7" x14ac:dyDescent="0.2">
      <c r="A69" s="58" t="s">
        <v>85</v>
      </c>
      <c r="B69" s="71">
        <v>3966496.92</v>
      </c>
      <c r="C69" s="71">
        <v>1922</v>
      </c>
      <c r="D69" s="71">
        <f t="shared" si="6"/>
        <v>2063.7340894901145</v>
      </c>
      <c r="E69" s="71">
        <f t="shared" si="4"/>
        <v>710.0193105098856</v>
      </c>
      <c r="F69" s="71">
        <f t="shared" si="7"/>
        <v>1364657.1148000001</v>
      </c>
      <c r="G69" s="71">
        <f t="shared" si="5"/>
        <v>859733.9823240001</v>
      </c>
    </row>
    <row r="70" spans="1:7" x14ac:dyDescent="0.2">
      <c r="A70" s="58"/>
      <c r="B70" s="71">
        <f>SUM(B61:B69)</f>
        <v>44153218.06000001</v>
      </c>
      <c r="C70" s="71">
        <f>SUM(C61:C69)</f>
        <v>16214</v>
      </c>
      <c r="D70" s="71"/>
      <c r="E70" s="71"/>
      <c r="F70" s="71">
        <f>SUM(F61:F69)</f>
        <v>4072381.33</v>
      </c>
      <c r="G70" s="71">
        <f t="shared" si="5"/>
        <v>2565600.2379000001</v>
      </c>
    </row>
    <row r="73" spans="1:7" ht="25.5" x14ac:dyDescent="0.2">
      <c r="A73" s="32" t="s">
        <v>80</v>
      </c>
      <c r="B73" s="26" t="s">
        <v>93</v>
      </c>
      <c r="C73" s="26" t="s">
        <v>94</v>
      </c>
      <c r="D73" s="46" t="s">
        <v>5</v>
      </c>
    </row>
    <row r="74" spans="1:7" x14ac:dyDescent="0.2">
      <c r="A74" s="67" t="s">
        <v>76</v>
      </c>
      <c r="B74" s="68">
        <f>G61</f>
        <v>0</v>
      </c>
      <c r="C74" s="68">
        <v>0</v>
      </c>
      <c r="D74" s="69">
        <f t="shared" ref="D74:D82" si="8">B74-C74</f>
        <v>0</v>
      </c>
    </row>
    <row r="75" spans="1:7" x14ac:dyDescent="0.2">
      <c r="A75" s="70" t="s">
        <v>84</v>
      </c>
      <c r="B75" s="71">
        <f>G62</f>
        <v>0</v>
      </c>
      <c r="C75" s="71">
        <v>0</v>
      </c>
      <c r="D75" s="72">
        <f t="shared" si="8"/>
        <v>0</v>
      </c>
    </row>
    <row r="76" spans="1:7" x14ac:dyDescent="0.2">
      <c r="A76" s="70" t="s">
        <v>0</v>
      </c>
      <c r="B76" s="71">
        <f t="shared" ref="B76:B82" si="9">G63</f>
        <v>170014.17106800011</v>
      </c>
      <c r="C76" s="71">
        <v>166273.90771200007</v>
      </c>
      <c r="D76" s="72">
        <f t="shared" si="8"/>
        <v>3740.2633560000395</v>
      </c>
    </row>
    <row r="77" spans="1:7" x14ac:dyDescent="0.2">
      <c r="A77" s="70" t="s">
        <v>47</v>
      </c>
      <c r="B77" s="71">
        <f t="shared" si="9"/>
        <v>0</v>
      </c>
      <c r="C77" s="71">
        <v>0</v>
      </c>
      <c r="D77" s="72">
        <f t="shared" si="8"/>
        <v>0</v>
      </c>
    </row>
    <row r="78" spans="1:7" x14ac:dyDescent="0.2">
      <c r="A78" s="70" t="s">
        <v>46</v>
      </c>
      <c r="B78" s="71">
        <f t="shared" si="9"/>
        <v>239538.703824</v>
      </c>
      <c r="C78" s="71">
        <v>239993.19001599998</v>
      </c>
      <c r="D78" s="72">
        <f t="shared" si="8"/>
        <v>-454.48619199998211</v>
      </c>
    </row>
    <row r="79" spans="1:7" x14ac:dyDescent="0.2">
      <c r="A79" s="70" t="s">
        <v>50</v>
      </c>
      <c r="B79" s="71">
        <f t="shared" si="9"/>
        <v>412208.18906399998</v>
      </c>
      <c r="C79" s="71">
        <v>415275.19577599992</v>
      </c>
      <c r="D79" s="72">
        <f t="shared" si="8"/>
        <v>-3067.0067119999439</v>
      </c>
    </row>
    <row r="80" spans="1:7" x14ac:dyDescent="0.2">
      <c r="A80" s="73" t="s">
        <v>42</v>
      </c>
      <c r="B80" s="71">
        <f t="shared" si="9"/>
        <v>542518.33091399993</v>
      </c>
      <c r="C80" s="71">
        <v>544607</v>
      </c>
      <c r="D80" s="74">
        <f t="shared" si="8"/>
        <v>-2088.6690860000672</v>
      </c>
    </row>
    <row r="81" spans="1:4" x14ac:dyDescent="0.2">
      <c r="A81" s="70" t="s">
        <v>78</v>
      </c>
      <c r="B81" s="71">
        <f t="shared" si="9"/>
        <v>341586.86070600006</v>
      </c>
      <c r="C81" s="71">
        <v>338395.88230400009</v>
      </c>
      <c r="D81" s="72">
        <f t="shared" si="8"/>
        <v>3190.9784019999788</v>
      </c>
    </row>
    <row r="82" spans="1:4" x14ac:dyDescent="0.2">
      <c r="A82" s="70" t="s">
        <v>85</v>
      </c>
      <c r="B82" s="71">
        <f t="shared" si="9"/>
        <v>859733.9823240001</v>
      </c>
      <c r="C82" s="71">
        <v>861054.29081600008</v>
      </c>
      <c r="D82" s="72">
        <f t="shared" si="8"/>
        <v>-1320.3084919999819</v>
      </c>
    </row>
    <row r="83" spans="1:4" x14ac:dyDescent="0.2">
      <c r="A83" s="75"/>
      <c r="B83" s="76">
        <f>G70</f>
        <v>2565600.2379000001</v>
      </c>
      <c r="C83" s="76">
        <f>SUM(C74:C82)</f>
        <v>2565599.4666240001</v>
      </c>
      <c r="D83" s="77"/>
    </row>
    <row r="86" spans="1:4" ht="16.5" x14ac:dyDescent="0.25">
      <c r="A86" s="85" t="s">
        <v>89</v>
      </c>
    </row>
    <row r="88" spans="1:4" x14ac:dyDescent="0.2">
      <c r="A88" t="s">
        <v>107</v>
      </c>
      <c r="B88" s="52"/>
      <c r="C88" s="52"/>
    </row>
    <row r="89" spans="1:4" x14ac:dyDescent="0.2">
      <c r="B89" s="53"/>
      <c r="C89" s="53"/>
    </row>
    <row r="90" spans="1:4" ht="15" x14ac:dyDescent="0.25">
      <c r="A90" s="64" t="s">
        <v>80</v>
      </c>
      <c r="B90" s="64">
        <v>2018</v>
      </c>
      <c r="C90" s="65" t="s">
        <v>105</v>
      </c>
    </row>
    <row r="91" spans="1:4" x14ac:dyDescent="0.2">
      <c r="A91" s="58" t="s">
        <v>76</v>
      </c>
      <c r="B91" s="63">
        <v>49</v>
      </c>
      <c r="C91" s="63">
        <v>49</v>
      </c>
    </row>
    <row r="92" spans="1:4" x14ac:dyDescent="0.2">
      <c r="A92" s="58" t="s">
        <v>84</v>
      </c>
      <c r="B92" s="63">
        <v>58</v>
      </c>
      <c r="C92" s="63">
        <v>58</v>
      </c>
    </row>
    <row r="93" spans="1:4" x14ac:dyDescent="0.2">
      <c r="A93" s="58" t="s">
        <v>0</v>
      </c>
      <c r="B93" s="63">
        <v>65</v>
      </c>
      <c r="C93" s="63"/>
    </row>
    <row r="94" spans="1:4" x14ac:dyDescent="0.2">
      <c r="A94" s="58" t="s">
        <v>46</v>
      </c>
      <c r="B94" s="63">
        <v>80</v>
      </c>
      <c r="C94" s="63"/>
    </row>
    <row r="95" spans="1:4" x14ac:dyDescent="0.2">
      <c r="A95" s="60" t="s">
        <v>43</v>
      </c>
      <c r="B95" s="63"/>
      <c r="C95" s="66">
        <v>69</v>
      </c>
      <c r="D95" t="s">
        <v>117</v>
      </c>
    </row>
    <row r="96" spans="1:4" x14ac:dyDescent="0.2">
      <c r="A96" s="58" t="s">
        <v>47</v>
      </c>
      <c r="B96" s="63">
        <v>53</v>
      </c>
      <c r="C96" s="63">
        <v>53</v>
      </c>
    </row>
    <row r="97" spans="1:7" x14ac:dyDescent="0.2">
      <c r="A97" s="58" t="s">
        <v>50</v>
      </c>
      <c r="B97" s="63">
        <v>82</v>
      </c>
      <c r="C97" s="63">
        <v>82</v>
      </c>
    </row>
    <row r="98" spans="1:7" x14ac:dyDescent="0.2">
      <c r="A98" s="58" t="s">
        <v>3</v>
      </c>
      <c r="B98" s="63">
        <v>60</v>
      </c>
      <c r="C98" s="63">
        <v>60</v>
      </c>
    </row>
    <row r="99" spans="1:7" x14ac:dyDescent="0.2">
      <c r="A99" s="58" t="s">
        <v>2</v>
      </c>
      <c r="B99" s="63">
        <v>70</v>
      </c>
      <c r="C99" s="63">
        <v>70</v>
      </c>
    </row>
    <row r="100" spans="1:7" x14ac:dyDescent="0.2">
      <c r="A100" s="58" t="s">
        <v>78</v>
      </c>
      <c r="B100" s="58">
        <v>55</v>
      </c>
      <c r="C100" s="58">
        <v>55</v>
      </c>
    </row>
    <row r="101" spans="1:7" x14ac:dyDescent="0.2">
      <c r="A101" s="58" t="s">
        <v>79</v>
      </c>
      <c r="B101" s="58">
        <v>65</v>
      </c>
      <c r="C101" s="58">
        <v>65</v>
      </c>
    </row>
    <row r="102" spans="1:7" x14ac:dyDescent="0.2">
      <c r="A102" s="58" t="s">
        <v>103</v>
      </c>
      <c r="B102" s="58">
        <f>AVERAGE(B91:B101)</f>
        <v>63.7</v>
      </c>
      <c r="C102" s="61">
        <f>AVERAGE(C91:C101)</f>
        <v>62.333333333333336</v>
      </c>
    </row>
    <row r="103" spans="1:7" ht="15" x14ac:dyDescent="0.25">
      <c r="A103" s="58" t="s">
        <v>104</v>
      </c>
      <c r="B103" s="62">
        <f>ROUND(B102,0)</f>
        <v>64</v>
      </c>
      <c r="C103" s="62">
        <f>ROUND(C102,0)</f>
        <v>62</v>
      </c>
    </row>
    <row r="105" spans="1:7" x14ac:dyDescent="0.2">
      <c r="A105" s="99" t="s">
        <v>80</v>
      </c>
      <c r="B105" s="100" t="s">
        <v>51</v>
      </c>
      <c r="C105" s="100" t="s">
        <v>15</v>
      </c>
      <c r="D105" s="100" t="s">
        <v>72</v>
      </c>
      <c r="E105" s="100" t="s">
        <v>81</v>
      </c>
      <c r="F105" s="100" t="s">
        <v>70</v>
      </c>
      <c r="G105" s="101" t="s">
        <v>74</v>
      </c>
    </row>
    <row r="106" spans="1:7" x14ac:dyDescent="0.2">
      <c r="A106" s="102"/>
      <c r="B106" s="91" t="s">
        <v>95</v>
      </c>
      <c r="C106" s="92">
        <v>43465</v>
      </c>
      <c r="D106" s="91" t="s">
        <v>82</v>
      </c>
      <c r="E106" s="91" t="s">
        <v>83</v>
      </c>
      <c r="F106" s="91" t="s">
        <v>73</v>
      </c>
      <c r="G106" s="97" t="s">
        <v>109</v>
      </c>
    </row>
    <row r="107" spans="1:7" x14ac:dyDescent="0.2">
      <c r="A107" s="94"/>
      <c r="B107" s="95"/>
      <c r="C107" s="95"/>
      <c r="D107" s="95"/>
      <c r="E107" s="98">
        <v>2784</v>
      </c>
      <c r="F107" s="95"/>
      <c r="G107" s="96" t="s">
        <v>111</v>
      </c>
    </row>
    <row r="108" spans="1:7" x14ac:dyDescent="0.2">
      <c r="A108" s="88" t="s">
        <v>76</v>
      </c>
      <c r="B108" s="68">
        <v>24571503.43</v>
      </c>
      <c r="C108" s="68">
        <v>7963</v>
      </c>
      <c r="D108" s="68">
        <f>B108/C108</f>
        <v>3085.7093344217005</v>
      </c>
      <c r="E108" s="68">
        <f>2784.0973-D108</f>
        <v>-301.61203442170063</v>
      </c>
      <c r="F108" s="68">
        <v>0</v>
      </c>
      <c r="G108" s="68">
        <f>F108/100*62</f>
        <v>0</v>
      </c>
    </row>
    <row r="109" spans="1:7" x14ac:dyDescent="0.2">
      <c r="A109" s="58" t="s">
        <v>84</v>
      </c>
      <c r="B109" s="71">
        <v>2471670.7799999998</v>
      </c>
      <c r="C109" s="71">
        <v>884</v>
      </c>
      <c r="D109" s="71">
        <f>B109/C109</f>
        <v>2796.0076696832575</v>
      </c>
      <c r="E109" s="71">
        <f t="shared" ref="E109:E116" si="10">2784.0973-D109</f>
        <v>-11.910369683257613</v>
      </c>
      <c r="F109" s="71">
        <v>0</v>
      </c>
      <c r="G109" s="71">
        <f t="shared" ref="G109:G116" si="11">F109/100*62</f>
        <v>0</v>
      </c>
    </row>
    <row r="110" spans="1:7" x14ac:dyDescent="0.2">
      <c r="A110" s="60" t="s">
        <v>43</v>
      </c>
      <c r="B110" s="71">
        <v>3582663.76</v>
      </c>
      <c r="C110" s="71">
        <v>1526</v>
      </c>
      <c r="D110" s="71">
        <f t="shared" ref="D110:D116" si="12">B110/C110</f>
        <v>2347.7482044560943</v>
      </c>
      <c r="E110" s="71">
        <f t="shared" si="10"/>
        <v>436.34909554390561</v>
      </c>
      <c r="F110" s="71">
        <f>E110*C110</f>
        <v>665868.71979999996</v>
      </c>
      <c r="G110" s="71">
        <f t="shared" si="11"/>
        <v>412838.60627599998</v>
      </c>
    </row>
    <row r="111" spans="1:7" x14ac:dyDescent="0.2">
      <c r="A111" s="58" t="s">
        <v>47</v>
      </c>
      <c r="B111" s="71">
        <v>3569091.09</v>
      </c>
      <c r="C111" s="71">
        <v>1017</v>
      </c>
      <c r="D111" s="71">
        <f t="shared" si="12"/>
        <v>3509.4307669616519</v>
      </c>
      <c r="E111" s="71">
        <f t="shared" si="10"/>
        <v>-725.33346696165199</v>
      </c>
      <c r="F111" s="71">
        <v>0</v>
      </c>
      <c r="G111" s="71">
        <f t="shared" si="11"/>
        <v>0</v>
      </c>
    </row>
    <row r="112" spans="1:7" x14ac:dyDescent="0.2">
      <c r="A112" s="58" t="s">
        <v>50</v>
      </c>
      <c r="B112" s="71">
        <v>849075.63</v>
      </c>
      <c r="C112" s="71">
        <v>542</v>
      </c>
      <c r="D112" s="71">
        <f t="shared" ref="D112" si="13">B112/C112</f>
        <v>1566.5602029520296</v>
      </c>
      <c r="E112" s="71">
        <f t="shared" si="10"/>
        <v>1217.5370970479703</v>
      </c>
      <c r="F112" s="71">
        <f t="shared" ref="F112" si="14">E112*C112</f>
        <v>659905.10659999994</v>
      </c>
      <c r="G112" s="71">
        <f t="shared" si="11"/>
        <v>409141.16609199997</v>
      </c>
    </row>
    <row r="113" spans="1:7" x14ac:dyDescent="0.2">
      <c r="A113" s="58" t="s">
        <v>3</v>
      </c>
      <c r="B113" s="71">
        <v>1345929.67</v>
      </c>
      <c r="C113" s="71">
        <v>674</v>
      </c>
      <c r="D113" s="71">
        <f t="shared" si="12"/>
        <v>1996.9282937685459</v>
      </c>
      <c r="E113" s="71">
        <f t="shared" si="10"/>
        <v>787.16900623145398</v>
      </c>
      <c r="F113" s="71">
        <f t="shared" ref="F113:F116" si="15">E113*C113</f>
        <v>530551.91019999993</v>
      </c>
      <c r="G113" s="71">
        <f t="shared" si="11"/>
        <v>328942.18432399997</v>
      </c>
    </row>
    <row r="114" spans="1:7" x14ac:dyDescent="0.2">
      <c r="A114" s="63" t="s">
        <v>2</v>
      </c>
      <c r="B114" s="71">
        <v>613837.32999999996</v>
      </c>
      <c r="C114" s="71">
        <v>343</v>
      </c>
      <c r="D114" s="71">
        <f t="shared" si="12"/>
        <v>1789.6132069970845</v>
      </c>
      <c r="E114" s="71">
        <f t="shared" si="10"/>
        <v>994.48409300291542</v>
      </c>
      <c r="F114" s="71">
        <f t="shared" si="15"/>
        <v>341108.04389999999</v>
      </c>
      <c r="G114" s="71">
        <f t="shared" si="11"/>
        <v>211486.98721799999</v>
      </c>
    </row>
    <row r="115" spans="1:7" x14ac:dyDescent="0.2">
      <c r="A115" s="58" t="s">
        <v>78</v>
      </c>
      <c r="B115" s="71">
        <v>3182949.45</v>
      </c>
      <c r="C115" s="71">
        <v>1343</v>
      </c>
      <c r="D115" s="71">
        <f t="shared" si="12"/>
        <v>2370.0293745346239</v>
      </c>
      <c r="E115" s="71">
        <f t="shared" si="10"/>
        <v>414.06792546537599</v>
      </c>
      <c r="F115" s="71">
        <f t="shared" si="15"/>
        <v>556093.22389999998</v>
      </c>
      <c r="G115" s="71">
        <f t="shared" si="11"/>
        <v>344777.79881800001</v>
      </c>
    </row>
    <row r="116" spans="1:7" x14ac:dyDescent="0.2">
      <c r="A116" s="58" t="s">
        <v>85</v>
      </c>
      <c r="B116" s="71">
        <v>3966496.92</v>
      </c>
      <c r="C116" s="71">
        <v>1922</v>
      </c>
      <c r="D116" s="71">
        <f t="shared" si="12"/>
        <v>2063.7340894901145</v>
      </c>
      <c r="E116" s="71">
        <f t="shared" si="10"/>
        <v>720.36321050988545</v>
      </c>
      <c r="F116" s="71">
        <f t="shared" si="15"/>
        <v>1384538.0905999998</v>
      </c>
      <c r="G116" s="71">
        <f t="shared" si="11"/>
        <v>858413.61617199995</v>
      </c>
    </row>
    <row r="117" spans="1:7" x14ac:dyDescent="0.2">
      <c r="A117" s="58"/>
      <c r="B117" s="71">
        <f>SUM(B108:B116)</f>
        <v>44153218.06000001</v>
      </c>
      <c r="C117" s="71">
        <f>SUM(C108:C116)</f>
        <v>16214</v>
      </c>
      <c r="D117" s="71"/>
      <c r="E117" s="71"/>
      <c r="F117" s="71">
        <f>SUM(F108:F116)</f>
        <v>4138065.0949999997</v>
      </c>
      <c r="G117" s="71">
        <f>SUM(G108:G116)</f>
        <v>2565600.3588999999</v>
      </c>
    </row>
    <row r="119" spans="1:7" ht="25.5" x14ac:dyDescent="0.2">
      <c r="A119" s="32" t="s">
        <v>80</v>
      </c>
      <c r="B119" s="26" t="s">
        <v>93</v>
      </c>
      <c r="C119" s="26" t="s">
        <v>94</v>
      </c>
      <c r="D119" s="46" t="s">
        <v>5</v>
      </c>
    </row>
    <row r="120" spans="1:7" x14ac:dyDescent="0.2">
      <c r="A120" t="s">
        <v>76</v>
      </c>
      <c r="B120" s="22">
        <f>G108</f>
        <v>0</v>
      </c>
      <c r="C120" s="22">
        <v>0</v>
      </c>
      <c r="D120" s="22">
        <f t="shared" ref="D120:D128" si="16">B120-C120</f>
        <v>0</v>
      </c>
    </row>
    <row r="121" spans="1:7" x14ac:dyDescent="0.2">
      <c r="A121" t="s">
        <v>84</v>
      </c>
      <c r="B121" s="22">
        <f>G108</f>
        <v>0</v>
      </c>
      <c r="C121" s="22">
        <v>0</v>
      </c>
      <c r="D121" s="22">
        <f t="shared" si="16"/>
        <v>0</v>
      </c>
    </row>
    <row r="122" spans="1:7" x14ac:dyDescent="0.2">
      <c r="A122" s="44" t="s">
        <v>43</v>
      </c>
      <c r="B122" s="22">
        <f>G110</f>
        <v>412838.60627599998</v>
      </c>
      <c r="C122" s="22">
        <v>406267</v>
      </c>
      <c r="D122" s="45">
        <f t="shared" si="16"/>
        <v>6571.6062759999768</v>
      </c>
    </row>
    <row r="123" spans="1:7" x14ac:dyDescent="0.2">
      <c r="A123" t="s">
        <v>47</v>
      </c>
      <c r="B123" s="22">
        <v>0</v>
      </c>
      <c r="C123" s="22">
        <v>0</v>
      </c>
      <c r="D123" s="22">
        <f t="shared" si="16"/>
        <v>0</v>
      </c>
    </row>
    <row r="124" spans="1:7" x14ac:dyDescent="0.2">
      <c r="A124" t="s">
        <v>50</v>
      </c>
      <c r="B124" s="22">
        <f>G112</f>
        <v>409141.16609199997</v>
      </c>
      <c r="C124" s="22">
        <v>415275.19577599992</v>
      </c>
      <c r="D124" s="22">
        <f t="shared" si="16"/>
        <v>-6134.0296839999501</v>
      </c>
    </row>
    <row r="125" spans="1:7" x14ac:dyDescent="0.2">
      <c r="A125" t="s">
        <v>86</v>
      </c>
      <c r="B125" s="22">
        <f t="shared" ref="B125:B128" si="17">G113</f>
        <v>328942.18432399997</v>
      </c>
      <c r="C125" s="22">
        <v>330768.74867200002</v>
      </c>
      <c r="D125" s="22">
        <f t="shared" si="16"/>
        <v>-1826.5643480000435</v>
      </c>
    </row>
    <row r="126" spans="1:7" x14ac:dyDescent="0.2">
      <c r="A126" s="47" t="s">
        <v>2</v>
      </c>
      <c r="B126" s="22">
        <f t="shared" si="17"/>
        <v>211486.98721799999</v>
      </c>
      <c r="C126" s="22">
        <v>213838.71110400002</v>
      </c>
      <c r="D126" s="22">
        <f t="shared" si="16"/>
        <v>-2351.7238860000216</v>
      </c>
    </row>
    <row r="127" spans="1:7" x14ac:dyDescent="0.2">
      <c r="A127" t="s">
        <v>78</v>
      </c>
      <c r="B127" s="22">
        <f t="shared" si="17"/>
        <v>344777.79881800001</v>
      </c>
      <c r="C127" s="22">
        <v>338395.88230400009</v>
      </c>
      <c r="D127" s="22">
        <f t="shared" si="16"/>
        <v>6381.9165139999241</v>
      </c>
    </row>
    <row r="128" spans="1:7" x14ac:dyDescent="0.2">
      <c r="A128" t="s">
        <v>85</v>
      </c>
      <c r="B128" s="22">
        <f t="shared" si="17"/>
        <v>858413.61617199995</v>
      </c>
      <c r="C128" s="22">
        <v>861054.29081600008</v>
      </c>
      <c r="D128" s="22">
        <f t="shared" si="16"/>
        <v>-2640.6746440001298</v>
      </c>
    </row>
    <row r="129" spans="1:4" x14ac:dyDescent="0.2">
      <c r="B129" s="22">
        <f>SUM(B120:B128)</f>
        <v>2565600.3588999999</v>
      </c>
      <c r="C129" s="22">
        <f>SUM(C120:C128)</f>
        <v>2565599.8286720002</v>
      </c>
      <c r="D129" s="22"/>
    </row>
    <row r="132" spans="1:4" ht="16.5" x14ac:dyDescent="0.25">
      <c r="A132" s="85" t="s">
        <v>90</v>
      </c>
    </row>
    <row r="134" spans="1:4" ht="15" x14ac:dyDescent="0.25">
      <c r="A134" s="64" t="s">
        <v>80</v>
      </c>
      <c r="B134" s="64">
        <v>2018</v>
      </c>
      <c r="C134" s="65" t="s">
        <v>105</v>
      </c>
    </row>
    <row r="135" spans="1:4" x14ac:dyDescent="0.2">
      <c r="A135" s="58" t="s">
        <v>76</v>
      </c>
      <c r="B135" s="63">
        <v>49</v>
      </c>
      <c r="C135" s="63">
        <v>49</v>
      </c>
    </row>
    <row r="136" spans="1:4" x14ac:dyDescent="0.2">
      <c r="A136" s="58" t="s">
        <v>84</v>
      </c>
      <c r="B136" s="63">
        <v>58</v>
      </c>
      <c r="C136" s="63">
        <v>58</v>
      </c>
    </row>
    <row r="137" spans="1:4" x14ac:dyDescent="0.2">
      <c r="A137" s="58" t="s">
        <v>0</v>
      </c>
      <c r="B137" s="63">
        <v>65</v>
      </c>
      <c r="C137" s="63">
        <v>65</v>
      </c>
    </row>
    <row r="138" spans="1:4" x14ac:dyDescent="0.2">
      <c r="A138" s="58" t="s">
        <v>46</v>
      </c>
      <c r="B138" s="63">
        <v>80</v>
      </c>
      <c r="C138" s="63"/>
    </row>
    <row r="139" spans="1:4" x14ac:dyDescent="0.2">
      <c r="A139" s="58" t="s">
        <v>47</v>
      </c>
      <c r="B139" s="63">
        <v>53</v>
      </c>
      <c r="C139" s="63"/>
    </row>
    <row r="140" spans="1:4" x14ac:dyDescent="0.2">
      <c r="A140" s="60" t="s">
        <v>112</v>
      </c>
      <c r="B140" s="63"/>
      <c r="C140" s="60">
        <v>58</v>
      </c>
      <c r="D140" t="s">
        <v>113</v>
      </c>
    </row>
    <row r="141" spans="1:4" x14ac:dyDescent="0.2">
      <c r="A141" s="58" t="s">
        <v>50</v>
      </c>
      <c r="B141" s="63">
        <v>82</v>
      </c>
      <c r="C141" s="63">
        <v>82</v>
      </c>
    </row>
    <row r="142" spans="1:4" x14ac:dyDescent="0.2">
      <c r="A142" s="58" t="s">
        <v>3</v>
      </c>
      <c r="B142" s="63">
        <v>60</v>
      </c>
      <c r="C142" s="63">
        <v>60</v>
      </c>
    </row>
    <row r="143" spans="1:4" x14ac:dyDescent="0.2">
      <c r="A143" s="58" t="s">
        <v>2</v>
      </c>
      <c r="B143" s="63">
        <v>70</v>
      </c>
      <c r="C143" s="63">
        <v>70</v>
      </c>
    </row>
    <row r="144" spans="1:4" x14ac:dyDescent="0.2">
      <c r="A144" s="58" t="s">
        <v>78</v>
      </c>
      <c r="B144" s="58">
        <v>55</v>
      </c>
      <c r="C144" s="58">
        <v>55</v>
      </c>
    </row>
    <row r="145" spans="1:7" x14ac:dyDescent="0.2">
      <c r="A145" s="58" t="s">
        <v>79</v>
      </c>
      <c r="B145" s="58">
        <v>65</v>
      </c>
      <c r="C145" s="58">
        <v>65</v>
      </c>
    </row>
    <row r="146" spans="1:7" x14ac:dyDescent="0.2">
      <c r="A146" s="58" t="s">
        <v>103</v>
      </c>
      <c r="B146" s="58">
        <f>AVERAGE(B135:B145)</f>
        <v>63.7</v>
      </c>
      <c r="C146" s="61">
        <f>AVERAGE(C135:C145)</f>
        <v>62.444444444444443</v>
      </c>
    </row>
    <row r="147" spans="1:7" ht="15" x14ac:dyDescent="0.25">
      <c r="A147" s="58" t="s">
        <v>104</v>
      </c>
      <c r="B147" s="62">
        <f>ROUND(B146,0)</f>
        <v>64</v>
      </c>
      <c r="C147" s="62">
        <f>ROUND(C146,0)</f>
        <v>62</v>
      </c>
    </row>
    <row r="150" spans="1:7" x14ac:dyDescent="0.2">
      <c r="A150" s="103" t="s">
        <v>80</v>
      </c>
      <c r="B150" s="104" t="s">
        <v>51</v>
      </c>
      <c r="C150" s="104" t="s">
        <v>15</v>
      </c>
      <c r="D150" s="104" t="s">
        <v>72</v>
      </c>
      <c r="E150" s="104" t="s">
        <v>81</v>
      </c>
      <c r="F150" s="104" t="s">
        <v>70</v>
      </c>
      <c r="G150" s="105" t="s">
        <v>74</v>
      </c>
    </row>
    <row r="151" spans="1:7" x14ac:dyDescent="0.2">
      <c r="A151" s="106"/>
      <c r="B151" s="86" t="s">
        <v>95</v>
      </c>
      <c r="C151" s="87">
        <v>43465</v>
      </c>
      <c r="D151" s="86" t="s">
        <v>82</v>
      </c>
      <c r="E151" s="86" t="s">
        <v>83</v>
      </c>
      <c r="F151" s="86" t="s">
        <v>73</v>
      </c>
      <c r="G151" s="107" t="s">
        <v>109</v>
      </c>
    </row>
    <row r="152" spans="1:7" x14ac:dyDescent="0.2">
      <c r="A152" s="108"/>
      <c r="B152" s="109"/>
      <c r="C152" s="109"/>
      <c r="D152" s="109"/>
      <c r="E152" s="110">
        <v>2843</v>
      </c>
      <c r="F152" s="109"/>
      <c r="G152" s="111" t="s">
        <v>111</v>
      </c>
    </row>
    <row r="153" spans="1:7" x14ac:dyDescent="0.2">
      <c r="A153" s="88" t="s">
        <v>76</v>
      </c>
      <c r="B153" s="89">
        <v>24571503.43</v>
      </c>
      <c r="C153" s="90">
        <v>7963</v>
      </c>
      <c r="D153" s="68">
        <f>B153/C153</f>
        <v>3085.7093344217005</v>
      </c>
      <c r="E153" s="68">
        <f>2843.1182-D153</f>
        <v>-242.59113442170064</v>
      </c>
      <c r="F153" s="68">
        <v>0</v>
      </c>
      <c r="G153" s="68">
        <f>F153/100*62</f>
        <v>0</v>
      </c>
    </row>
    <row r="154" spans="1:7" x14ac:dyDescent="0.2">
      <c r="A154" s="58" t="s">
        <v>84</v>
      </c>
      <c r="B154" s="78">
        <v>2471670.7799999998</v>
      </c>
      <c r="C154" s="79">
        <v>884</v>
      </c>
      <c r="D154" s="71">
        <f>B154/C154</f>
        <v>2796.0076696832575</v>
      </c>
      <c r="E154" s="71">
        <f t="shared" ref="E154:E161" si="18">2843.1182-D154</f>
        <v>47.11053031674237</v>
      </c>
      <c r="F154" s="71">
        <f t="shared" ref="F154:F161" si="19">E154*C154</f>
        <v>41645.708800000255</v>
      </c>
      <c r="G154" s="71">
        <f t="shared" ref="G154:G161" si="20">F154/100*62</f>
        <v>25820.339456000158</v>
      </c>
    </row>
    <row r="155" spans="1:7" x14ac:dyDescent="0.2">
      <c r="A155" s="58" t="s">
        <v>0</v>
      </c>
      <c r="B155" s="78">
        <v>2514984.65</v>
      </c>
      <c r="C155" s="79">
        <v>1004</v>
      </c>
      <c r="D155" s="71">
        <f>B155/C155</f>
        <v>2504.9647908366533</v>
      </c>
      <c r="E155" s="71">
        <f t="shared" si="18"/>
        <v>338.15340916334662</v>
      </c>
      <c r="F155" s="71">
        <f t="shared" si="19"/>
        <v>339506.02280000004</v>
      </c>
      <c r="G155" s="71">
        <f t="shared" si="20"/>
        <v>210493.73413600001</v>
      </c>
    </row>
    <row r="156" spans="1:7" x14ac:dyDescent="0.2">
      <c r="A156" s="58" t="s">
        <v>96</v>
      </c>
      <c r="B156" s="78">
        <v>4636770</v>
      </c>
      <c r="C156" s="79">
        <v>1539</v>
      </c>
      <c r="D156" s="71">
        <f t="shared" ref="D156:D161" si="21">B156/C156</f>
        <v>3012.8460038986354</v>
      </c>
      <c r="E156" s="71">
        <f t="shared" si="18"/>
        <v>-169.72780389863556</v>
      </c>
      <c r="F156" s="71">
        <v>0</v>
      </c>
      <c r="G156" s="71">
        <f t="shared" si="20"/>
        <v>0</v>
      </c>
    </row>
    <row r="157" spans="1:7" x14ac:dyDescent="0.2">
      <c r="A157" s="58" t="s">
        <v>50</v>
      </c>
      <c r="B157" s="80">
        <v>849075.63</v>
      </c>
      <c r="C157" s="81">
        <v>542</v>
      </c>
      <c r="D157" s="71">
        <f t="shared" si="21"/>
        <v>1566.5602029520296</v>
      </c>
      <c r="E157" s="71">
        <f t="shared" si="18"/>
        <v>1276.5579970479703</v>
      </c>
      <c r="F157" s="71">
        <f t="shared" si="19"/>
        <v>691894.43439999991</v>
      </c>
      <c r="G157" s="71">
        <f t="shared" si="20"/>
        <v>428974.54932799999</v>
      </c>
    </row>
    <row r="158" spans="1:7" x14ac:dyDescent="0.2">
      <c r="A158" s="58" t="s">
        <v>3</v>
      </c>
      <c r="B158" s="80">
        <v>1345929.67</v>
      </c>
      <c r="C158" s="81">
        <v>674</v>
      </c>
      <c r="D158" s="71">
        <f t="shared" si="21"/>
        <v>1996.9282937685459</v>
      </c>
      <c r="E158" s="71">
        <f t="shared" si="18"/>
        <v>846.18990623145396</v>
      </c>
      <c r="F158" s="71">
        <f t="shared" si="19"/>
        <v>570331.99679999996</v>
      </c>
      <c r="G158" s="71">
        <f t="shared" si="20"/>
        <v>353605.83801599999</v>
      </c>
    </row>
    <row r="159" spans="1:7" x14ac:dyDescent="0.2">
      <c r="A159" s="63" t="s">
        <v>2</v>
      </c>
      <c r="B159" s="80">
        <v>613837.32999999996</v>
      </c>
      <c r="C159" s="81">
        <v>343</v>
      </c>
      <c r="D159" s="71">
        <f t="shared" si="21"/>
        <v>1789.6132069970845</v>
      </c>
      <c r="E159" s="71">
        <f t="shared" si="18"/>
        <v>1053.5049930029154</v>
      </c>
      <c r="F159" s="71">
        <f t="shared" si="19"/>
        <v>361352.21259999997</v>
      </c>
      <c r="G159" s="71">
        <f t="shared" si="20"/>
        <v>224038.371812</v>
      </c>
    </row>
    <row r="160" spans="1:7" x14ac:dyDescent="0.2">
      <c r="A160" s="58" t="s">
        <v>78</v>
      </c>
      <c r="B160" s="80">
        <v>3182949.45</v>
      </c>
      <c r="C160" s="81">
        <v>1343</v>
      </c>
      <c r="D160" s="71">
        <f t="shared" si="21"/>
        <v>2370.0293745346239</v>
      </c>
      <c r="E160" s="71">
        <f t="shared" si="18"/>
        <v>473.08882546537598</v>
      </c>
      <c r="F160" s="71">
        <f t="shared" si="19"/>
        <v>635358.29259999993</v>
      </c>
      <c r="G160" s="71">
        <f t="shared" si="20"/>
        <v>393922.14141199994</v>
      </c>
    </row>
    <row r="161" spans="1:7" x14ac:dyDescent="0.2">
      <c r="A161" s="58" t="s">
        <v>85</v>
      </c>
      <c r="B161" s="78">
        <v>3966496.92</v>
      </c>
      <c r="C161" s="79">
        <v>1922</v>
      </c>
      <c r="D161" s="71">
        <f t="shared" si="21"/>
        <v>2063.7340894901145</v>
      </c>
      <c r="E161" s="71">
        <f t="shared" si="18"/>
        <v>779.38411050988543</v>
      </c>
      <c r="F161" s="71">
        <f t="shared" si="19"/>
        <v>1497976.2603999998</v>
      </c>
      <c r="G161" s="71">
        <f t="shared" si="20"/>
        <v>928745.28144799988</v>
      </c>
    </row>
    <row r="162" spans="1:7" x14ac:dyDescent="0.2">
      <c r="A162" s="58"/>
      <c r="B162" s="71">
        <f>SUM(B153:B161)</f>
        <v>44153217.860000007</v>
      </c>
      <c r="C162" s="82">
        <f>SUM(C153:C161)</f>
        <v>16214</v>
      </c>
      <c r="D162" s="71"/>
      <c r="E162" s="71"/>
      <c r="F162" s="71">
        <f>SUM(F153:F161)</f>
        <v>4138064.9283999996</v>
      </c>
      <c r="G162" s="71">
        <f>SUM(G153:G161)</f>
        <v>2565600.2556079999</v>
      </c>
    </row>
    <row r="164" spans="1:7" ht="25.5" x14ac:dyDescent="0.2">
      <c r="A164" s="32" t="s">
        <v>80</v>
      </c>
      <c r="B164" s="26" t="s">
        <v>93</v>
      </c>
      <c r="C164" s="26" t="s">
        <v>94</v>
      </c>
      <c r="D164" s="46" t="s">
        <v>5</v>
      </c>
    </row>
    <row r="165" spans="1:7" x14ac:dyDescent="0.2">
      <c r="A165" t="s">
        <v>76</v>
      </c>
      <c r="B165" s="22">
        <f>G153</f>
        <v>0</v>
      </c>
      <c r="C165" s="22">
        <v>0</v>
      </c>
      <c r="D165" s="22">
        <f t="shared" ref="D165:D173" si="22">B165-C165</f>
        <v>0</v>
      </c>
    </row>
    <row r="166" spans="1:7" x14ac:dyDescent="0.2">
      <c r="A166" t="s">
        <v>84</v>
      </c>
      <c r="B166" s="22">
        <f>G154</f>
        <v>25820.339456000158</v>
      </c>
      <c r="C166" s="22">
        <v>0</v>
      </c>
      <c r="D166" s="22">
        <f t="shared" si="22"/>
        <v>25820.339456000158</v>
      </c>
    </row>
    <row r="167" spans="1:7" x14ac:dyDescent="0.2">
      <c r="A167" t="s">
        <v>0</v>
      </c>
      <c r="B167" s="22">
        <f t="shared" ref="B167:B173" si="23">G155</f>
        <v>210493.73413600001</v>
      </c>
      <c r="C167" s="22">
        <v>166273.90771200007</v>
      </c>
      <c r="D167" s="22">
        <f t="shared" si="22"/>
        <v>44219.826423999941</v>
      </c>
    </row>
    <row r="168" spans="1:7" x14ac:dyDescent="0.2">
      <c r="A168" s="44" t="s">
        <v>96</v>
      </c>
      <c r="B168" s="22">
        <f t="shared" si="23"/>
        <v>0</v>
      </c>
      <c r="C168" s="22">
        <v>239993.19001599998</v>
      </c>
      <c r="D168" s="45">
        <f t="shared" si="22"/>
        <v>-239993.19001599998</v>
      </c>
    </row>
    <row r="169" spans="1:7" x14ac:dyDescent="0.2">
      <c r="A169" t="s">
        <v>50</v>
      </c>
      <c r="B169" s="22">
        <f t="shared" si="23"/>
        <v>428974.54932799999</v>
      </c>
      <c r="C169" s="22">
        <v>415275.19577599992</v>
      </c>
      <c r="D169" s="22">
        <f t="shared" si="22"/>
        <v>13699.353552000073</v>
      </c>
    </row>
    <row r="170" spans="1:7" x14ac:dyDescent="0.2">
      <c r="A170" t="s">
        <v>86</v>
      </c>
      <c r="B170" s="22">
        <f t="shared" si="23"/>
        <v>353605.83801599999</v>
      </c>
      <c r="C170" s="22">
        <v>330768.74867200002</v>
      </c>
      <c r="D170" s="22">
        <f t="shared" si="22"/>
        <v>22837.089343999978</v>
      </c>
    </row>
    <row r="171" spans="1:7" x14ac:dyDescent="0.2">
      <c r="A171" s="47" t="s">
        <v>2</v>
      </c>
      <c r="B171" s="22">
        <f t="shared" si="23"/>
        <v>224038.371812</v>
      </c>
      <c r="C171" s="22">
        <v>213838.71110400002</v>
      </c>
      <c r="D171" s="22">
        <f t="shared" si="22"/>
        <v>10199.660707999981</v>
      </c>
    </row>
    <row r="172" spans="1:7" x14ac:dyDescent="0.2">
      <c r="A172" t="s">
        <v>78</v>
      </c>
      <c r="B172" s="22">
        <f t="shared" si="23"/>
        <v>393922.14141199994</v>
      </c>
      <c r="C172" s="22">
        <v>338395.88230400009</v>
      </c>
      <c r="D172" s="22">
        <f t="shared" si="22"/>
        <v>55526.259107999853</v>
      </c>
    </row>
    <row r="173" spans="1:7" x14ac:dyDescent="0.2">
      <c r="A173" t="s">
        <v>85</v>
      </c>
      <c r="B173" s="22">
        <f t="shared" si="23"/>
        <v>928745.28144799988</v>
      </c>
      <c r="C173" s="22">
        <v>861054.29081600008</v>
      </c>
      <c r="D173" s="22">
        <f t="shared" si="22"/>
        <v>67690.990631999797</v>
      </c>
    </row>
    <row r="174" spans="1:7" x14ac:dyDescent="0.2">
      <c r="B174" s="22">
        <f>SUM(B165:B173)</f>
        <v>2565600.2556079999</v>
      </c>
      <c r="C174" s="22">
        <f>SUM(C165:C173)</f>
        <v>2565599.9264000002</v>
      </c>
      <c r="D174" s="22"/>
    </row>
    <row r="177" spans="1:4" ht="16.5" x14ac:dyDescent="0.25">
      <c r="A177" s="85" t="s">
        <v>91</v>
      </c>
    </row>
    <row r="179" spans="1:4" ht="15" x14ac:dyDescent="0.25">
      <c r="A179" s="64" t="s">
        <v>80</v>
      </c>
      <c r="B179" s="64">
        <v>2018</v>
      </c>
      <c r="C179" s="65" t="s">
        <v>105</v>
      </c>
    </row>
    <row r="180" spans="1:4" x14ac:dyDescent="0.2">
      <c r="A180" s="58" t="s">
        <v>76</v>
      </c>
      <c r="B180" s="63">
        <v>49</v>
      </c>
      <c r="C180" s="63">
        <v>49</v>
      </c>
    </row>
    <row r="181" spans="1:4" x14ac:dyDescent="0.2">
      <c r="A181" s="58" t="s">
        <v>84</v>
      </c>
      <c r="B181" s="63">
        <v>58</v>
      </c>
      <c r="C181" s="63">
        <v>58</v>
      </c>
    </row>
    <row r="182" spans="1:4" x14ac:dyDescent="0.2">
      <c r="A182" s="58" t="s">
        <v>0</v>
      </c>
      <c r="B182" s="63">
        <v>65</v>
      </c>
      <c r="C182" s="63">
        <v>65</v>
      </c>
    </row>
    <row r="183" spans="1:4" x14ac:dyDescent="0.2">
      <c r="A183" s="58" t="s">
        <v>46</v>
      </c>
      <c r="B183" s="63">
        <v>80</v>
      </c>
      <c r="C183" s="63"/>
    </row>
    <row r="184" spans="1:4" x14ac:dyDescent="0.2">
      <c r="A184" s="58" t="s">
        <v>47</v>
      </c>
      <c r="B184" s="63">
        <v>53</v>
      </c>
      <c r="C184" s="63"/>
    </row>
    <row r="185" spans="1:4" x14ac:dyDescent="0.2">
      <c r="A185" s="58" t="s">
        <v>50</v>
      </c>
      <c r="B185" s="63">
        <v>82</v>
      </c>
      <c r="C185" s="63"/>
    </row>
    <row r="186" spans="1:4" x14ac:dyDescent="0.2">
      <c r="A186" s="60" t="s">
        <v>114</v>
      </c>
      <c r="B186" s="63"/>
      <c r="C186" s="60">
        <v>60</v>
      </c>
      <c r="D186" t="s">
        <v>115</v>
      </c>
    </row>
    <row r="187" spans="1:4" x14ac:dyDescent="0.2">
      <c r="A187" s="58" t="s">
        <v>3</v>
      </c>
      <c r="B187" s="63">
        <v>60</v>
      </c>
      <c r="C187" s="63">
        <v>60</v>
      </c>
    </row>
    <row r="188" spans="1:4" x14ac:dyDescent="0.2">
      <c r="A188" s="58" t="s">
        <v>2</v>
      </c>
      <c r="B188" s="63">
        <v>70</v>
      </c>
      <c r="C188" s="63">
        <v>70</v>
      </c>
    </row>
    <row r="189" spans="1:4" x14ac:dyDescent="0.2">
      <c r="A189" s="58" t="s">
        <v>78</v>
      </c>
      <c r="B189" s="58">
        <v>55</v>
      </c>
      <c r="C189" s="58">
        <v>55</v>
      </c>
    </row>
    <row r="190" spans="1:4" x14ac:dyDescent="0.2">
      <c r="A190" s="58" t="s">
        <v>79</v>
      </c>
      <c r="B190" s="58">
        <v>65</v>
      </c>
      <c r="C190" s="58">
        <v>65</v>
      </c>
    </row>
    <row r="191" spans="1:4" x14ac:dyDescent="0.2">
      <c r="A191" s="58" t="s">
        <v>103</v>
      </c>
      <c r="B191" s="58">
        <f>AVERAGE(B180:B190)</f>
        <v>63.7</v>
      </c>
      <c r="C191" s="61">
        <f>AVERAGE(C180:C190)</f>
        <v>60.25</v>
      </c>
    </row>
    <row r="192" spans="1:4" ht="15" x14ac:dyDescent="0.25">
      <c r="A192" s="58" t="s">
        <v>104</v>
      </c>
      <c r="B192" s="62">
        <f>ROUND(B191,0)</f>
        <v>64</v>
      </c>
      <c r="C192" s="62">
        <f>ROUND(C191,0)</f>
        <v>60</v>
      </c>
    </row>
    <row r="197" spans="1:7" x14ac:dyDescent="0.2">
      <c r="A197" s="103" t="s">
        <v>80</v>
      </c>
      <c r="B197" s="104" t="s">
        <v>51</v>
      </c>
      <c r="C197" s="104" t="s">
        <v>15</v>
      </c>
      <c r="D197" s="104" t="s">
        <v>72</v>
      </c>
      <c r="E197" s="104" t="s">
        <v>81</v>
      </c>
      <c r="F197" s="104" t="s">
        <v>70</v>
      </c>
      <c r="G197" s="105" t="s">
        <v>74</v>
      </c>
    </row>
    <row r="198" spans="1:7" x14ac:dyDescent="0.2">
      <c r="A198" s="106"/>
      <c r="B198" s="86" t="s">
        <v>95</v>
      </c>
      <c r="C198" s="87">
        <v>43465</v>
      </c>
      <c r="D198" s="86" t="s">
        <v>82</v>
      </c>
      <c r="E198" s="86" t="s">
        <v>83</v>
      </c>
      <c r="F198" s="86" t="s">
        <v>73</v>
      </c>
      <c r="G198" s="107" t="s">
        <v>109</v>
      </c>
    </row>
    <row r="199" spans="1:7" x14ac:dyDescent="0.2">
      <c r="A199" s="108"/>
      <c r="B199" s="109"/>
      <c r="C199" s="109"/>
      <c r="D199" s="109"/>
      <c r="E199" s="110">
        <v>2891</v>
      </c>
      <c r="F199" s="109"/>
      <c r="G199" s="111" t="s">
        <v>116</v>
      </c>
    </row>
    <row r="200" spans="1:7" x14ac:dyDescent="0.2">
      <c r="A200" s="88" t="s">
        <v>76</v>
      </c>
      <c r="B200" s="89">
        <v>24571503.43</v>
      </c>
      <c r="C200" s="90">
        <v>7963</v>
      </c>
      <c r="D200" s="68">
        <f>B200/C200</f>
        <v>3085.7093344217005</v>
      </c>
      <c r="E200" s="68">
        <f>2891.4936-D200</f>
        <v>-194.21573442170074</v>
      </c>
      <c r="F200" s="68">
        <v>0</v>
      </c>
      <c r="G200" s="68">
        <f>F200/100*60</f>
        <v>0</v>
      </c>
    </row>
    <row r="201" spans="1:7" x14ac:dyDescent="0.2">
      <c r="A201" s="58" t="s">
        <v>84</v>
      </c>
      <c r="B201" s="78">
        <v>2471670.7799999998</v>
      </c>
      <c r="C201" s="79">
        <v>884</v>
      </c>
      <c r="D201" s="71">
        <f>B201/C201</f>
        <v>2796.0076696832575</v>
      </c>
      <c r="E201" s="71">
        <f t="shared" ref="E201:E207" si="24">2891.4936-D201</f>
        <v>95.485930316742269</v>
      </c>
      <c r="F201" s="71">
        <f t="shared" ref="F201:F203" si="25">E201*C201</f>
        <v>84409.56240000017</v>
      </c>
      <c r="G201" s="71">
        <f t="shared" ref="G201:G208" si="26">F201/100*60</f>
        <v>50645.737440000106</v>
      </c>
    </row>
    <row r="202" spans="1:7" x14ac:dyDescent="0.2">
      <c r="A202" s="58" t="s">
        <v>0</v>
      </c>
      <c r="B202" s="78">
        <v>2514984.65</v>
      </c>
      <c r="C202" s="79">
        <v>1004</v>
      </c>
      <c r="D202" s="71">
        <f>B202/C202</f>
        <v>2504.9647908366533</v>
      </c>
      <c r="E202" s="71">
        <f t="shared" si="24"/>
        <v>386.52880916334652</v>
      </c>
      <c r="F202" s="71">
        <f t="shared" si="25"/>
        <v>388074.9243999999</v>
      </c>
      <c r="G202" s="71">
        <f t="shared" si="26"/>
        <v>232844.95463999995</v>
      </c>
    </row>
    <row r="203" spans="1:7" x14ac:dyDescent="0.2">
      <c r="A203" s="60" t="s">
        <v>98</v>
      </c>
      <c r="B203" s="78">
        <v>5485845.6299999999</v>
      </c>
      <c r="C203" s="79">
        <v>2081</v>
      </c>
      <c r="D203" s="71">
        <f t="shared" ref="D203:D207" si="27">B203/C203</f>
        <v>2636.1583998077845</v>
      </c>
      <c r="E203" s="71">
        <f t="shared" si="24"/>
        <v>255.33520019221532</v>
      </c>
      <c r="F203" s="71">
        <f t="shared" si="25"/>
        <v>531352.55160000012</v>
      </c>
      <c r="G203" s="71">
        <f t="shared" si="26"/>
        <v>318811.53096000012</v>
      </c>
    </row>
    <row r="204" spans="1:7" x14ac:dyDescent="0.2">
      <c r="A204" s="58" t="s">
        <v>3</v>
      </c>
      <c r="B204" s="80">
        <v>1345929.67</v>
      </c>
      <c r="C204" s="81">
        <v>674</v>
      </c>
      <c r="D204" s="71">
        <f t="shared" si="27"/>
        <v>1996.9282937685459</v>
      </c>
      <c r="E204" s="71">
        <f t="shared" si="24"/>
        <v>894.56530623145386</v>
      </c>
      <c r="F204" s="71">
        <f t="shared" ref="F204:F207" si="28">E204*C204</f>
        <v>602937.01639999985</v>
      </c>
      <c r="G204" s="71">
        <f t="shared" si="26"/>
        <v>361762.20983999991</v>
      </c>
    </row>
    <row r="205" spans="1:7" x14ac:dyDescent="0.2">
      <c r="A205" s="63" t="s">
        <v>2</v>
      </c>
      <c r="B205" s="80">
        <v>613837.32999999996</v>
      </c>
      <c r="C205" s="81">
        <v>343</v>
      </c>
      <c r="D205" s="71">
        <f t="shared" si="27"/>
        <v>1789.6132069970845</v>
      </c>
      <c r="E205" s="71">
        <f t="shared" si="24"/>
        <v>1101.8803930029153</v>
      </c>
      <c r="F205" s="71">
        <f t="shared" si="28"/>
        <v>377944.97479999997</v>
      </c>
      <c r="G205" s="71">
        <f t="shared" si="26"/>
        <v>226766.98487999997</v>
      </c>
    </row>
    <row r="206" spans="1:7" x14ac:dyDescent="0.2">
      <c r="A206" s="58" t="s">
        <v>78</v>
      </c>
      <c r="B206" s="80">
        <v>3182949.45</v>
      </c>
      <c r="C206" s="81">
        <v>1343</v>
      </c>
      <c r="D206" s="71">
        <f t="shared" si="27"/>
        <v>2370.0293745346239</v>
      </c>
      <c r="E206" s="71">
        <f t="shared" si="24"/>
        <v>521.46422546537588</v>
      </c>
      <c r="F206" s="71">
        <f t="shared" si="28"/>
        <v>700326.45479999983</v>
      </c>
      <c r="G206" s="71">
        <f t="shared" si="26"/>
        <v>420195.87287999992</v>
      </c>
    </row>
    <row r="207" spans="1:7" x14ac:dyDescent="0.2">
      <c r="A207" s="58" t="s">
        <v>85</v>
      </c>
      <c r="B207" s="79">
        <v>3966496.92</v>
      </c>
      <c r="C207" s="79">
        <v>1922</v>
      </c>
      <c r="D207" s="71">
        <f t="shared" si="27"/>
        <v>2063.7340894901145</v>
      </c>
      <c r="E207" s="71">
        <f t="shared" si="24"/>
        <v>827.75951050988533</v>
      </c>
      <c r="F207" s="71">
        <f t="shared" si="28"/>
        <v>1590953.7791999995</v>
      </c>
      <c r="G207" s="71">
        <f t="shared" si="26"/>
        <v>954572.26751999976</v>
      </c>
    </row>
    <row r="208" spans="1:7" x14ac:dyDescent="0.2">
      <c r="A208" s="58"/>
      <c r="B208" s="84">
        <f>SUM(B200:B207)</f>
        <v>44153217.860000007</v>
      </c>
      <c r="C208" s="83">
        <f>SUM(C200:C207)</f>
        <v>16214</v>
      </c>
      <c r="D208" s="71"/>
      <c r="E208" s="71"/>
      <c r="F208" s="71">
        <f>SUM(F200:F207)</f>
        <v>4275999.2635999992</v>
      </c>
      <c r="G208" s="71">
        <f t="shared" si="26"/>
        <v>2565599.5581599995</v>
      </c>
    </row>
    <row r="210" spans="1:4" ht="25.5" x14ac:dyDescent="0.2">
      <c r="A210" s="32" t="s">
        <v>80</v>
      </c>
      <c r="B210" s="26" t="s">
        <v>93</v>
      </c>
      <c r="C210" s="26" t="s">
        <v>94</v>
      </c>
      <c r="D210" s="46" t="s">
        <v>5</v>
      </c>
    </row>
    <row r="211" spans="1:4" x14ac:dyDescent="0.2">
      <c r="A211" t="s">
        <v>76</v>
      </c>
      <c r="B211" s="22">
        <f>G200</f>
        <v>0</v>
      </c>
      <c r="C211" s="22">
        <v>0</v>
      </c>
      <c r="D211" s="22">
        <f t="shared" ref="D211:D218" si="29">B211-C211</f>
        <v>0</v>
      </c>
    </row>
    <row r="212" spans="1:4" x14ac:dyDescent="0.2">
      <c r="A212" t="s">
        <v>84</v>
      </c>
      <c r="B212" s="22">
        <f>G201</f>
        <v>50645.737440000106</v>
      </c>
      <c r="C212" s="22">
        <v>0</v>
      </c>
      <c r="D212" s="22">
        <f t="shared" si="29"/>
        <v>50645.737440000106</v>
      </c>
    </row>
    <row r="213" spans="1:4" x14ac:dyDescent="0.2">
      <c r="A213" t="s">
        <v>0</v>
      </c>
      <c r="B213" s="22">
        <f t="shared" ref="B213:B218" si="30">G202</f>
        <v>232844.95463999995</v>
      </c>
      <c r="C213" s="22">
        <v>166273.90771200007</v>
      </c>
      <c r="D213" s="22">
        <f t="shared" si="29"/>
        <v>66571.04692799988</v>
      </c>
    </row>
    <row r="214" spans="1:4" x14ac:dyDescent="0.2">
      <c r="A214" s="44" t="s">
        <v>99</v>
      </c>
      <c r="B214" s="22">
        <f t="shared" si="30"/>
        <v>318811.53096000012</v>
      </c>
      <c r="C214" s="22">
        <v>655268</v>
      </c>
      <c r="D214" s="45">
        <f t="shared" si="29"/>
        <v>-336456.46903999988</v>
      </c>
    </row>
    <row r="215" spans="1:4" x14ac:dyDescent="0.2">
      <c r="A215" t="s">
        <v>86</v>
      </c>
      <c r="B215" s="22">
        <f t="shared" si="30"/>
        <v>361762.20983999991</v>
      </c>
      <c r="C215" s="22">
        <v>330768.74867200002</v>
      </c>
      <c r="D215" s="22">
        <f t="shared" si="29"/>
        <v>30993.461167999892</v>
      </c>
    </row>
    <row r="216" spans="1:4" x14ac:dyDescent="0.2">
      <c r="A216" s="47" t="s">
        <v>2</v>
      </c>
      <c r="B216" s="22">
        <f t="shared" si="30"/>
        <v>226766.98487999997</v>
      </c>
      <c r="C216" s="22">
        <v>213838.71110400002</v>
      </c>
      <c r="D216" s="22">
        <f t="shared" si="29"/>
        <v>12928.273775999958</v>
      </c>
    </row>
    <row r="217" spans="1:4" x14ac:dyDescent="0.2">
      <c r="A217" t="s">
        <v>78</v>
      </c>
      <c r="B217" s="22">
        <f t="shared" si="30"/>
        <v>420195.87287999992</v>
      </c>
      <c r="C217" s="22">
        <v>338395.88230400009</v>
      </c>
      <c r="D217" s="22">
        <f t="shared" si="29"/>
        <v>81799.990575999836</v>
      </c>
    </row>
    <row r="218" spans="1:4" x14ac:dyDescent="0.2">
      <c r="A218" t="s">
        <v>85</v>
      </c>
      <c r="B218" s="22">
        <f t="shared" si="30"/>
        <v>954572.26751999976</v>
      </c>
      <c r="C218" s="22">
        <v>861054.29081600008</v>
      </c>
      <c r="D218" s="22">
        <f t="shared" si="29"/>
        <v>93517.97670399968</v>
      </c>
    </row>
    <row r="219" spans="1:4" x14ac:dyDescent="0.2">
      <c r="B219" s="22">
        <f>SUM(B211:B218)</f>
        <v>2565599.5581599995</v>
      </c>
      <c r="C219" s="22">
        <f>SUM(C211:C218)</f>
        <v>2565599.5406080005</v>
      </c>
      <c r="D219" s="22"/>
    </row>
  </sheetData>
  <pageMargins left="0.7" right="0.7" top="0.78740157499999996" bottom="0.78740157499999996" header="0.3" footer="0.3"/>
  <pageSetup paperSize="9" scale="70" fitToHeight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workbookViewId="0">
      <selection activeCell="C45" sqref="C45"/>
    </sheetView>
  </sheetViews>
  <sheetFormatPr baseColWidth="10" defaultRowHeight="12.75" x14ac:dyDescent="0.2"/>
  <cols>
    <col min="1" max="1" width="29.5703125" customWidth="1"/>
    <col min="2" max="2" width="21.28515625" customWidth="1"/>
    <col min="3" max="4" width="22.140625" customWidth="1"/>
    <col min="5" max="5" width="24" customWidth="1"/>
    <col min="6" max="6" width="23.7109375" customWidth="1"/>
    <col min="7" max="7" width="16.7109375" customWidth="1"/>
    <col min="8" max="8" width="18.5703125" customWidth="1"/>
    <col min="9" max="9" width="23.42578125" customWidth="1"/>
    <col min="10" max="10" width="25" customWidth="1"/>
    <col min="11" max="11" width="19.140625" customWidth="1"/>
    <col min="15" max="15" width="15.28515625" customWidth="1"/>
    <col min="16" max="16" width="15.85546875" customWidth="1"/>
  </cols>
  <sheetData>
    <row r="1" spans="1:3" ht="18" x14ac:dyDescent="0.25">
      <c r="A1" s="6" t="s">
        <v>39</v>
      </c>
    </row>
    <row r="3" spans="1:3" x14ac:dyDescent="0.2">
      <c r="A3" t="s">
        <v>40</v>
      </c>
      <c r="B3" t="s">
        <v>101</v>
      </c>
      <c r="C3" t="s">
        <v>102</v>
      </c>
    </row>
    <row r="4" spans="1:3" x14ac:dyDescent="0.2">
      <c r="A4" t="s">
        <v>41</v>
      </c>
      <c r="B4" s="22">
        <v>0</v>
      </c>
      <c r="C4" s="22">
        <v>0</v>
      </c>
    </row>
    <row r="5" spans="1:3" x14ac:dyDescent="0.2">
      <c r="A5" t="s">
        <v>42</v>
      </c>
      <c r="B5" s="22">
        <v>34340</v>
      </c>
      <c r="C5" s="22">
        <v>2903</v>
      </c>
    </row>
    <row r="6" spans="1:3" x14ac:dyDescent="0.2">
      <c r="A6" t="s">
        <v>43</v>
      </c>
      <c r="B6" s="22">
        <v>76015</v>
      </c>
      <c r="C6" s="22">
        <v>36765</v>
      </c>
    </row>
    <row r="7" spans="1:3" ht="12.75" customHeight="1" x14ac:dyDescent="0.2">
      <c r="A7" t="s">
        <v>44</v>
      </c>
      <c r="B7" s="22">
        <v>414319</v>
      </c>
      <c r="C7" s="22">
        <v>350139</v>
      </c>
    </row>
    <row r="8" spans="1:3" x14ac:dyDescent="0.2">
      <c r="A8" t="s">
        <v>45</v>
      </c>
      <c r="B8" s="22">
        <v>470079</v>
      </c>
      <c r="C8" s="22">
        <v>613007</v>
      </c>
    </row>
    <row r="12" spans="1:3" ht="13.5" customHeight="1" x14ac:dyDescent="0.2"/>
    <row r="16" spans="1:3" ht="12.75" customHeight="1" x14ac:dyDescent="0.2"/>
    <row r="22" spans="15:15" ht="12.75" customHeight="1" x14ac:dyDescent="0.2"/>
    <row r="23" spans="15:15" ht="12.75" customHeight="1" x14ac:dyDescent="0.2"/>
    <row r="29" spans="15:15" ht="14.25" x14ac:dyDescent="0.2">
      <c r="O29" s="9"/>
    </row>
    <row r="51" spans="15:15" ht="14.25" x14ac:dyDescent="0.2">
      <c r="O51" s="9"/>
    </row>
  </sheetData>
  <pageMargins left="0.7" right="0.7" top="0.78740157499999996" bottom="0.78740157499999996" header="0.3" footer="0.3"/>
  <pageSetup paperSize="8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opLeftCell="A22" workbookViewId="0">
      <selection sqref="A1:G61"/>
    </sheetView>
  </sheetViews>
  <sheetFormatPr baseColWidth="10" defaultRowHeight="12.75" x14ac:dyDescent="0.2"/>
  <cols>
    <col min="1" max="1" width="18" customWidth="1"/>
    <col min="2" max="2" width="15.140625" customWidth="1"/>
    <col min="3" max="3" width="14.7109375" customWidth="1"/>
    <col min="4" max="4" width="16.85546875" customWidth="1"/>
    <col min="5" max="5" width="10" customWidth="1"/>
    <col min="6" max="6" width="13.140625" customWidth="1"/>
    <col min="7" max="7" width="13.7109375" customWidth="1"/>
    <col min="8" max="8" width="15.5703125" customWidth="1"/>
    <col min="9" max="9" width="16.5703125" customWidth="1"/>
    <col min="10" max="10" width="16.85546875" customWidth="1"/>
  </cols>
  <sheetData>
    <row r="1" spans="1:6" ht="18" x14ac:dyDescent="0.25">
      <c r="A1" s="6" t="s">
        <v>16</v>
      </c>
    </row>
    <row r="3" spans="1:6" ht="15.75" x14ac:dyDescent="0.25">
      <c r="A3" s="3" t="s">
        <v>7</v>
      </c>
    </row>
    <row r="4" spans="1:6" ht="15.75" x14ac:dyDescent="0.25">
      <c r="A4" s="3"/>
    </row>
    <row r="5" spans="1:6" x14ac:dyDescent="0.2">
      <c r="A5" s="8" t="s">
        <v>17</v>
      </c>
    </row>
    <row r="7" spans="1:6" ht="51.75" customHeight="1" x14ac:dyDescent="0.2">
      <c r="B7" s="4" t="s">
        <v>18</v>
      </c>
      <c r="C7" t="s">
        <v>15</v>
      </c>
      <c r="D7" s="4" t="s">
        <v>20</v>
      </c>
      <c r="E7" t="s">
        <v>5</v>
      </c>
      <c r="F7" t="s">
        <v>22</v>
      </c>
    </row>
    <row r="8" spans="1:6" x14ac:dyDescent="0.2">
      <c r="A8" t="s">
        <v>0</v>
      </c>
      <c r="B8">
        <v>5478123</v>
      </c>
      <c r="C8">
        <v>2210</v>
      </c>
      <c r="D8" s="2">
        <f>B8/C8</f>
        <v>2478.7886877828055</v>
      </c>
      <c r="E8" s="2">
        <f>D10-D8</f>
        <v>247.43578450138875</v>
      </c>
      <c r="F8" s="2">
        <f>B8/100</f>
        <v>54781.23</v>
      </c>
    </row>
    <row r="9" spans="1:6" x14ac:dyDescent="0.2">
      <c r="A9" t="s">
        <v>1</v>
      </c>
      <c r="B9">
        <v>10407587</v>
      </c>
      <c r="C9">
        <v>3617</v>
      </c>
      <c r="D9" s="2">
        <f>B9/C9</f>
        <v>2877.4086259330938</v>
      </c>
      <c r="E9" s="2">
        <f>D10-D9</f>
        <v>-151.18415364889961</v>
      </c>
      <c r="F9" s="2">
        <f>B9/100</f>
        <v>104075.87</v>
      </c>
    </row>
    <row r="10" spans="1:6" x14ac:dyDescent="0.2">
      <c r="A10" t="s">
        <v>4</v>
      </c>
      <c r="B10">
        <f>SUM(B8:B9)</f>
        <v>15885710</v>
      </c>
      <c r="C10">
        <f>SUM(C8:C9)</f>
        <v>5827</v>
      </c>
      <c r="D10" s="2">
        <f>B10/C10</f>
        <v>2726.2244722841942</v>
      </c>
    </row>
    <row r="12" spans="1:6" ht="38.25" x14ac:dyDescent="0.2">
      <c r="A12" s="4" t="s">
        <v>21</v>
      </c>
      <c r="B12" s="4" t="s">
        <v>23</v>
      </c>
      <c r="C12" s="16" t="s">
        <v>25</v>
      </c>
    </row>
    <row r="13" spans="1:6" x14ac:dyDescent="0.2">
      <c r="A13" s="17">
        <f>E9*C9</f>
        <v>-546833.08374806994</v>
      </c>
      <c r="B13" s="17">
        <f>(E9+100)*C9</f>
        <v>-185133.08374806988</v>
      </c>
      <c r="C13" s="18">
        <f>C17*F9</f>
        <v>-234605.47374806998</v>
      </c>
    </row>
    <row r="16" spans="1:6" ht="51" x14ac:dyDescent="0.2">
      <c r="A16" s="4" t="s">
        <v>24</v>
      </c>
      <c r="B16" s="4" t="s">
        <v>26</v>
      </c>
      <c r="C16" s="4" t="s">
        <v>27</v>
      </c>
    </row>
    <row r="17" spans="1:6" x14ac:dyDescent="0.2">
      <c r="A17" s="1">
        <f>A13/F9</f>
        <v>-5.2541773972013877</v>
      </c>
      <c r="B17" s="1">
        <f>B13/F9</f>
        <v>-1.7788281159510835</v>
      </c>
      <c r="C17" s="1">
        <f>A17+3</f>
        <v>-2.2541773972013877</v>
      </c>
    </row>
    <row r="18" spans="1:6" x14ac:dyDescent="0.2">
      <c r="A18" s="4"/>
    </row>
    <row r="19" spans="1:6" x14ac:dyDescent="0.2">
      <c r="A19" s="4" t="s">
        <v>28</v>
      </c>
      <c r="B19" s="1"/>
    </row>
    <row r="20" spans="1:6" ht="25.5" x14ac:dyDescent="0.2">
      <c r="A20" s="14" t="s">
        <v>29</v>
      </c>
      <c r="B20">
        <v>0</v>
      </c>
    </row>
    <row r="21" spans="1:6" ht="25.5" x14ac:dyDescent="0.2">
      <c r="A21" s="4" t="s">
        <v>30</v>
      </c>
      <c r="B21">
        <v>0</v>
      </c>
    </row>
    <row r="23" spans="1:6" ht="15.75" x14ac:dyDescent="0.25">
      <c r="A23" s="12" t="s">
        <v>8</v>
      </c>
    </row>
    <row r="24" spans="1:6" ht="15.75" x14ac:dyDescent="0.25">
      <c r="A24" s="12"/>
    </row>
    <row r="25" spans="1:6" x14ac:dyDescent="0.2">
      <c r="A25" s="10" t="s">
        <v>17</v>
      </c>
    </row>
    <row r="27" spans="1:6" ht="25.5" x14ac:dyDescent="0.2">
      <c r="B27" s="4" t="s">
        <v>18</v>
      </c>
      <c r="C27" t="s">
        <v>15</v>
      </c>
      <c r="D27" s="4" t="s">
        <v>20</v>
      </c>
      <c r="E27" t="s">
        <v>5</v>
      </c>
      <c r="F27" t="s">
        <v>22</v>
      </c>
    </row>
    <row r="28" spans="1:6" x14ac:dyDescent="0.2">
      <c r="A28" t="s">
        <v>2</v>
      </c>
      <c r="B28">
        <v>610035</v>
      </c>
      <c r="C28">
        <v>352</v>
      </c>
      <c r="D28" s="2">
        <f>B28/C28</f>
        <v>1733.0539772727273</v>
      </c>
      <c r="E28" s="2">
        <f>D30-D28</f>
        <v>184.75193405732193</v>
      </c>
      <c r="F28" s="2">
        <f>B28/100</f>
        <v>6100.35</v>
      </c>
    </row>
    <row r="29" spans="1:6" x14ac:dyDescent="0.2">
      <c r="A29" t="s">
        <v>3</v>
      </c>
      <c r="B29">
        <v>1336538</v>
      </c>
      <c r="C29">
        <v>663</v>
      </c>
      <c r="D29" s="2">
        <f>B29/C29</f>
        <v>2015.8944193061841</v>
      </c>
      <c r="E29" s="2">
        <f>D30-D29</f>
        <v>-98.088507976134906</v>
      </c>
      <c r="F29" s="2">
        <f>B29/100</f>
        <v>13365.38</v>
      </c>
    </row>
    <row r="30" spans="1:6" x14ac:dyDescent="0.2">
      <c r="A30" t="s">
        <v>4</v>
      </c>
      <c r="B30">
        <f>SUM(B28:B29)</f>
        <v>1946573</v>
      </c>
      <c r="C30">
        <f>SUM(C28:C29)</f>
        <v>1015</v>
      </c>
      <c r="D30" s="2">
        <f>B30/C30</f>
        <v>1917.8059113300492</v>
      </c>
    </row>
    <row r="32" spans="1:6" ht="38.25" x14ac:dyDescent="0.2">
      <c r="A32" s="4" t="s">
        <v>21</v>
      </c>
      <c r="B32" s="4" t="s">
        <v>23</v>
      </c>
      <c r="C32" s="16" t="s">
        <v>25</v>
      </c>
      <c r="D32" s="4"/>
      <c r="E32" s="4"/>
    </row>
    <row r="33" spans="1:5" x14ac:dyDescent="0.2">
      <c r="A33" s="2">
        <f>E29*C29</f>
        <v>-65032.680788177444</v>
      </c>
      <c r="B33" s="2">
        <f>(E29+100)*C29</f>
        <v>1267.3192118225572</v>
      </c>
      <c r="C33" s="15">
        <f>C37*F29</f>
        <v>-24936.540788177444</v>
      </c>
      <c r="E33" s="1"/>
    </row>
    <row r="34" spans="1:5" x14ac:dyDescent="0.2">
      <c r="E34" s="1"/>
    </row>
    <row r="36" spans="1:5" ht="51" x14ac:dyDescent="0.2">
      <c r="A36" s="4" t="s">
        <v>24</v>
      </c>
      <c r="B36" s="4" t="s">
        <v>26</v>
      </c>
      <c r="C36" s="4" t="s">
        <v>27</v>
      </c>
      <c r="D36" s="4"/>
      <c r="E36" s="4"/>
    </row>
    <row r="37" spans="1:5" x14ac:dyDescent="0.2">
      <c r="A37" s="1">
        <f>A33/F29</f>
        <v>-4.8657562140528325</v>
      </c>
      <c r="B37" s="1">
        <f>B33/F29</f>
        <v>9.4821038520607512E-2</v>
      </c>
      <c r="C37" s="1">
        <f>A37+3</f>
        <v>-1.8657562140528325</v>
      </c>
      <c r="D37" s="2"/>
      <c r="E37" s="2"/>
    </row>
    <row r="38" spans="1:5" x14ac:dyDescent="0.2">
      <c r="B38" s="2"/>
      <c r="C38" s="2"/>
      <c r="D38" s="2"/>
      <c r="E38" s="2"/>
    </row>
    <row r="39" spans="1:5" x14ac:dyDescent="0.2">
      <c r="B39" s="2"/>
      <c r="C39" s="2"/>
      <c r="D39" s="2"/>
      <c r="E39" s="2"/>
    </row>
    <row r="40" spans="1:5" x14ac:dyDescent="0.2">
      <c r="B40" s="2"/>
      <c r="C40" s="2"/>
      <c r="D40" s="2"/>
      <c r="E40" s="2"/>
    </row>
    <row r="41" spans="1:5" x14ac:dyDescent="0.2">
      <c r="B41" t="s">
        <v>13</v>
      </c>
      <c r="C41" t="s">
        <v>14</v>
      </c>
      <c r="D41" t="s">
        <v>19</v>
      </c>
    </row>
    <row r="42" spans="1:5" ht="25.5" x14ac:dyDescent="0.2">
      <c r="A42" s="4" t="s">
        <v>10</v>
      </c>
      <c r="B42">
        <v>268299</v>
      </c>
      <c r="C42">
        <v>241113</v>
      </c>
      <c r="D42">
        <v>233235</v>
      </c>
      <c r="E42" s="2">
        <f>(B42+C42+D42)/3</f>
        <v>247549</v>
      </c>
    </row>
    <row r="43" spans="1:5" ht="25.5" x14ac:dyDescent="0.2">
      <c r="A43" s="4" t="s">
        <v>9</v>
      </c>
      <c r="B43">
        <v>339113</v>
      </c>
      <c r="C43">
        <v>324879</v>
      </c>
      <c r="D43">
        <v>319289</v>
      </c>
      <c r="E43" s="2">
        <f>(B43+C43+D43)/3</f>
        <v>327760.33333333331</v>
      </c>
    </row>
    <row r="44" spans="1:5" x14ac:dyDescent="0.2">
      <c r="A44" s="4" t="s">
        <v>4</v>
      </c>
      <c r="B44">
        <f>SUM(B42:B43)</f>
        <v>607412</v>
      </c>
      <c r="C44">
        <f>SUM(C42:C43)</f>
        <v>565992</v>
      </c>
      <c r="D44">
        <f>SUM(D42:D43)</f>
        <v>552524</v>
      </c>
      <c r="E44" s="2">
        <f>(B44+C44+D44)/3</f>
        <v>575309.33333333337</v>
      </c>
    </row>
    <row r="45" spans="1:5" x14ac:dyDescent="0.2">
      <c r="A45" s="4"/>
      <c r="E45" s="2"/>
    </row>
    <row r="46" spans="1:5" ht="25.5" x14ac:dyDescent="0.2">
      <c r="A46" s="4" t="s">
        <v>12</v>
      </c>
      <c r="E46">
        <v>581407</v>
      </c>
    </row>
    <row r="47" spans="1:5" x14ac:dyDescent="0.2">
      <c r="A47" s="4"/>
      <c r="B47" s="11"/>
    </row>
    <row r="48" spans="1:5" ht="25.5" x14ac:dyDescent="0.2">
      <c r="A48" s="4" t="s">
        <v>32</v>
      </c>
      <c r="E48" s="2">
        <f>E46-E44</f>
        <v>6097.6666666666279</v>
      </c>
    </row>
    <row r="52" spans="1:5" x14ac:dyDescent="0.2">
      <c r="A52" s="4" t="s">
        <v>11</v>
      </c>
      <c r="B52" s="11">
        <v>2106</v>
      </c>
      <c r="C52" s="11">
        <v>2017</v>
      </c>
      <c r="D52" s="11">
        <v>2018</v>
      </c>
      <c r="E52" t="s">
        <v>6</v>
      </c>
    </row>
    <row r="53" spans="1:5" x14ac:dyDescent="0.2">
      <c r="A53" s="4" t="s">
        <v>2</v>
      </c>
      <c r="B53">
        <v>0</v>
      </c>
      <c r="C53">
        <v>0</v>
      </c>
      <c r="D53">
        <v>0</v>
      </c>
      <c r="E53" s="2">
        <f>SUM(B53:D53)/3</f>
        <v>0</v>
      </c>
    </row>
    <row r="54" spans="1:5" x14ac:dyDescent="0.2">
      <c r="A54" s="4" t="s">
        <v>3</v>
      </c>
      <c r="B54">
        <v>0</v>
      </c>
      <c r="C54">
        <v>0</v>
      </c>
      <c r="D54">
        <v>0</v>
      </c>
      <c r="E54" s="2">
        <v>0</v>
      </c>
    </row>
    <row r="55" spans="1:5" x14ac:dyDescent="0.2">
      <c r="A55" s="4"/>
    </row>
    <row r="56" spans="1:5" x14ac:dyDescent="0.2">
      <c r="A56" s="4" t="s">
        <v>31</v>
      </c>
      <c r="B56" s="17">
        <f>A33+E48</f>
        <v>-58935.014121510816</v>
      </c>
    </row>
    <row r="57" spans="1:5" x14ac:dyDescent="0.2">
      <c r="A57" s="4" t="s">
        <v>33</v>
      </c>
      <c r="B57" s="2">
        <v>0</v>
      </c>
    </row>
    <row r="58" spans="1:5" x14ac:dyDescent="0.2">
      <c r="A58" s="4" t="s">
        <v>34</v>
      </c>
      <c r="B58" s="17">
        <f>C33+E48</f>
        <v>-18838.874121510817</v>
      </c>
    </row>
    <row r="59" spans="1:5" x14ac:dyDescent="0.2">
      <c r="A59" s="4"/>
      <c r="B59" s="2"/>
    </row>
    <row r="60" spans="1:5" x14ac:dyDescent="0.2">
      <c r="A60" s="4"/>
      <c r="B60" s="2"/>
    </row>
    <row r="61" spans="1:5" x14ac:dyDescent="0.2">
      <c r="A61" s="13"/>
    </row>
  </sheetData>
  <pageMargins left="0.7" right="0.7" top="0.78740157499999996" bottom="0.78740157499999996" header="0.3" footer="0.3"/>
  <pageSetup paperSize="9" scale="7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Kantonsbeitrag an Fusion</vt:lpstr>
      <vt:lpstr>Auswirkungen auf FA</vt:lpstr>
      <vt:lpstr>Vergleich</vt:lpstr>
      <vt:lpstr>Tabelle4</vt:lpstr>
      <vt:lpstr>'Kantonsbeitrag an Fusion'!Druckbereich</vt:lpstr>
    </vt:vector>
  </TitlesOfParts>
  <Company>Kantonale Verwaltung 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Dörig Markus RK</dc:creator>
  <cp:lastModifiedBy>Rusch Karin RK</cp:lastModifiedBy>
  <cp:lastPrinted>2019-03-18T14:27:01Z</cp:lastPrinted>
  <dcterms:created xsi:type="dcterms:W3CDTF">2018-12-14T16:06:15Z</dcterms:created>
  <dcterms:modified xsi:type="dcterms:W3CDTF">2019-03-18T15:57:49Z</dcterms:modified>
</cp:coreProperties>
</file>